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Bathgate Band\Bandhall\Community Asset Transfers\Bathgate West Nursery\"/>
    </mc:Choice>
  </mc:AlternateContent>
  <xr:revisionPtr revIDLastSave="68" documentId="13_ncr:1_{300DCF7E-CDDB-4D88-ACEB-FA0561AE56F9}" xr6:coauthVersionLast="47" xr6:coauthVersionMax="47" xr10:uidLastSave="{3C025120-6D8B-4A1E-897F-4558103400C2}"/>
  <bookViews>
    <workbookView xWindow="25080" yWindow="-120" windowWidth="25440" windowHeight="15990" firstSheet="4" activeTab="4" xr2:uid="{02C06777-E4F0-4867-A5C0-DB12B5D073BE}"/>
  </bookViews>
  <sheets>
    <sheet name="Building Plan" sheetId="5" r:id="rId1"/>
    <sheet name="expenses" sheetId="1" r:id="rId2"/>
    <sheet name="income" sheetId="3" r:id="rId3"/>
    <sheet name="Potential funders" sheetId="6" r:id="rId4"/>
    <sheet name="Summary" sheetId="4" r:id="rId5"/>
    <sheet name="Cash Flow Y1 Jan to Dec 2026" sheetId="2" r:id="rId6"/>
    <sheet name="Cash Flow Y2 Jan to Dec 2027" sheetId="7" r:id="rId7"/>
    <sheet name="Cash Flow Y3 Jan to Dec 2028" sheetId="8" r:id="rId8"/>
    <sheet name="Cash Flow Y4 Jan to Dec 2029" sheetId="9" r:id="rId9"/>
    <sheet name="Cash Flow Y5 Jan to Dec 2030" sheetId="10" r:id="rId10"/>
  </sheets>
  <externalReferences>
    <externalReference r:id="rId11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0" i="10" l="1"/>
  <c r="D40" i="10"/>
  <c r="E40" i="10"/>
  <c r="F40" i="10"/>
  <c r="G40" i="10"/>
  <c r="H40" i="10"/>
  <c r="I40" i="10"/>
  <c r="J40" i="10"/>
  <c r="K40" i="10"/>
  <c r="L40" i="10"/>
  <c r="M40" i="10"/>
  <c r="N40" i="10"/>
  <c r="C40" i="10"/>
  <c r="O40" i="9"/>
  <c r="D40" i="9"/>
  <c r="E40" i="9"/>
  <c r="F40" i="9"/>
  <c r="G40" i="9"/>
  <c r="H40" i="9"/>
  <c r="I40" i="9"/>
  <c r="J40" i="9"/>
  <c r="K40" i="9"/>
  <c r="L40" i="9"/>
  <c r="M40" i="9"/>
  <c r="N40" i="9"/>
  <c r="C40" i="9"/>
  <c r="O40" i="8"/>
  <c r="D40" i="8"/>
  <c r="E40" i="8"/>
  <c r="F40" i="8"/>
  <c r="G40" i="8"/>
  <c r="H40" i="8"/>
  <c r="I40" i="8"/>
  <c r="J40" i="8"/>
  <c r="K40" i="8"/>
  <c r="L40" i="8"/>
  <c r="M40" i="8"/>
  <c r="N40" i="8"/>
  <c r="C40" i="8"/>
  <c r="N40" i="7"/>
  <c r="M40" i="7"/>
  <c r="L40" i="7"/>
  <c r="K40" i="7"/>
  <c r="J40" i="7"/>
  <c r="I40" i="7"/>
  <c r="H40" i="7"/>
  <c r="G40" i="7"/>
  <c r="F40" i="7"/>
  <c r="E40" i="7"/>
  <c r="D40" i="7"/>
  <c r="C40" i="7"/>
  <c r="O40" i="7" s="1"/>
  <c r="O40" i="2"/>
  <c r="D40" i="2"/>
  <c r="E40" i="2"/>
  <c r="F40" i="2"/>
  <c r="G40" i="2"/>
  <c r="H40" i="2"/>
  <c r="I40" i="2"/>
  <c r="J40" i="2"/>
  <c r="K40" i="2"/>
  <c r="L40" i="2"/>
  <c r="M40" i="2"/>
  <c r="N40" i="2"/>
  <c r="C40" i="2"/>
  <c r="D43" i="10"/>
  <c r="E43" i="10"/>
  <c r="F43" i="10"/>
  <c r="G43" i="10"/>
  <c r="H43" i="10"/>
  <c r="I43" i="10"/>
  <c r="J43" i="10"/>
  <c r="K43" i="10"/>
  <c r="L43" i="10"/>
  <c r="M43" i="10"/>
  <c r="N43" i="10"/>
  <c r="C43" i="10"/>
  <c r="D41" i="10"/>
  <c r="E41" i="10"/>
  <c r="F41" i="10"/>
  <c r="G41" i="10"/>
  <c r="H41" i="10"/>
  <c r="I41" i="10"/>
  <c r="J41" i="10"/>
  <c r="K41" i="10"/>
  <c r="L41" i="10"/>
  <c r="M41" i="10"/>
  <c r="N41" i="10"/>
  <c r="C41" i="10"/>
  <c r="D39" i="10"/>
  <c r="E39" i="10"/>
  <c r="F39" i="10"/>
  <c r="G39" i="10"/>
  <c r="H39" i="10"/>
  <c r="I39" i="10"/>
  <c r="J39" i="10"/>
  <c r="K39" i="10"/>
  <c r="L39" i="10"/>
  <c r="M39" i="10"/>
  <c r="N39" i="10"/>
  <c r="C39" i="10"/>
  <c r="D38" i="10"/>
  <c r="E38" i="10"/>
  <c r="F38" i="10"/>
  <c r="G38" i="10"/>
  <c r="H38" i="10"/>
  <c r="I38" i="10"/>
  <c r="J38" i="10"/>
  <c r="K38" i="10"/>
  <c r="L38" i="10"/>
  <c r="M38" i="10"/>
  <c r="N38" i="10"/>
  <c r="C38" i="10"/>
  <c r="D36" i="10"/>
  <c r="E36" i="10"/>
  <c r="F36" i="10"/>
  <c r="G36" i="10"/>
  <c r="H36" i="10"/>
  <c r="I36" i="10"/>
  <c r="J36" i="10"/>
  <c r="K36" i="10"/>
  <c r="L36" i="10"/>
  <c r="M36" i="10"/>
  <c r="N36" i="10"/>
  <c r="C36" i="10"/>
  <c r="D34" i="10"/>
  <c r="E34" i="10"/>
  <c r="F34" i="10"/>
  <c r="G34" i="10"/>
  <c r="H34" i="10"/>
  <c r="I34" i="10"/>
  <c r="J34" i="10"/>
  <c r="K34" i="10"/>
  <c r="L34" i="10"/>
  <c r="M34" i="10"/>
  <c r="N34" i="10"/>
  <c r="C34" i="10"/>
  <c r="D33" i="10"/>
  <c r="E33" i="10"/>
  <c r="F33" i="10"/>
  <c r="G33" i="10"/>
  <c r="H33" i="10"/>
  <c r="I33" i="10"/>
  <c r="J33" i="10"/>
  <c r="K33" i="10"/>
  <c r="L33" i="10"/>
  <c r="M33" i="10"/>
  <c r="N33" i="10"/>
  <c r="C33" i="10"/>
  <c r="D29" i="10"/>
  <c r="E29" i="10"/>
  <c r="F29" i="10"/>
  <c r="G29" i="10"/>
  <c r="H29" i="10"/>
  <c r="I29" i="10"/>
  <c r="J29" i="10"/>
  <c r="K29" i="10"/>
  <c r="L29" i="10"/>
  <c r="M29" i="10"/>
  <c r="N29" i="10"/>
  <c r="C29" i="10"/>
  <c r="D20" i="10"/>
  <c r="E20" i="10"/>
  <c r="F20" i="10"/>
  <c r="G20" i="10"/>
  <c r="H20" i="10"/>
  <c r="I20" i="10"/>
  <c r="J20" i="10"/>
  <c r="K20" i="10"/>
  <c r="L20" i="10"/>
  <c r="M20" i="10"/>
  <c r="N20" i="10"/>
  <c r="C20" i="10"/>
  <c r="D10" i="10"/>
  <c r="E10" i="10"/>
  <c r="F10" i="10"/>
  <c r="G10" i="10"/>
  <c r="H10" i="10"/>
  <c r="I10" i="10"/>
  <c r="J10" i="10"/>
  <c r="K10" i="10"/>
  <c r="L10" i="10"/>
  <c r="M10" i="10"/>
  <c r="N10" i="10"/>
  <c r="C10" i="10"/>
  <c r="D9" i="10"/>
  <c r="E9" i="10"/>
  <c r="F9" i="10"/>
  <c r="G9" i="10"/>
  <c r="H9" i="10"/>
  <c r="I9" i="10"/>
  <c r="J9" i="10"/>
  <c r="K9" i="10"/>
  <c r="L9" i="10"/>
  <c r="M9" i="10"/>
  <c r="N9" i="10"/>
  <c r="C9" i="10"/>
  <c r="D8" i="10"/>
  <c r="E8" i="10"/>
  <c r="F8" i="10"/>
  <c r="G8" i="10"/>
  <c r="H8" i="10"/>
  <c r="I8" i="10"/>
  <c r="J8" i="10"/>
  <c r="K8" i="10"/>
  <c r="L8" i="10"/>
  <c r="M8" i="10"/>
  <c r="N8" i="10"/>
  <c r="C8" i="10"/>
  <c r="D7" i="10"/>
  <c r="E7" i="10"/>
  <c r="F7" i="10"/>
  <c r="G7" i="10"/>
  <c r="H7" i="10"/>
  <c r="I7" i="10"/>
  <c r="J7" i="10"/>
  <c r="K7" i="10"/>
  <c r="L7" i="10"/>
  <c r="M7" i="10"/>
  <c r="N7" i="10"/>
  <c r="C7" i="10"/>
  <c r="D4" i="10"/>
  <c r="E4" i="10"/>
  <c r="F4" i="10"/>
  <c r="F6" i="10" s="1"/>
  <c r="F11" i="10" s="1"/>
  <c r="G4" i="10"/>
  <c r="G6" i="10" s="1"/>
  <c r="H4" i="10"/>
  <c r="I4" i="10"/>
  <c r="J4" i="10"/>
  <c r="J6" i="10" s="1"/>
  <c r="K4" i="10"/>
  <c r="K6" i="10" s="1"/>
  <c r="L4" i="10"/>
  <c r="M4" i="10"/>
  <c r="N4" i="10"/>
  <c r="C4" i="10"/>
  <c r="O42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O37" i="10" s="1"/>
  <c r="O35" i="10"/>
  <c r="O32" i="10"/>
  <c r="O31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O30" i="10" s="1"/>
  <c r="O28" i="10"/>
  <c r="N22" i="10"/>
  <c r="M22" i="10"/>
  <c r="L22" i="10"/>
  <c r="K22" i="10"/>
  <c r="K24" i="10" s="1"/>
  <c r="J22" i="10"/>
  <c r="I22" i="10"/>
  <c r="H22" i="10"/>
  <c r="G22" i="10"/>
  <c r="F22" i="10"/>
  <c r="E22" i="10"/>
  <c r="D22" i="10"/>
  <c r="C22" i="10"/>
  <c r="C24" i="10" s="1"/>
  <c r="O21" i="10"/>
  <c r="M24" i="10"/>
  <c r="L24" i="10"/>
  <c r="G24" i="10"/>
  <c r="E24" i="10"/>
  <c r="D24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O15" i="10"/>
  <c r="O14" i="10"/>
  <c r="O13" i="10"/>
  <c r="O16" i="10" s="1"/>
  <c r="I6" i="10"/>
  <c r="H6" i="10"/>
  <c r="C6" i="10"/>
  <c r="C11" i="10" s="1"/>
  <c r="C18" i="10" s="1"/>
  <c r="N6" i="10"/>
  <c r="M6" i="10"/>
  <c r="M11" i="10" s="1"/>
  <c r="M18" i="10" s="1"/>
  <c r="L6" i="10"/>
  <c r="L11" i="10" s="1"/>
  <c r="L18" i="10" s="1"/>
  <c r="E6" i="10"/>
  <c r="E11" i="10" s="1"/>
  <c r="E18" i="10" s="1"/>
  <c r="D43" i="9"/>
  <c r="E43" i="9"/>
  <c r="F43" i="9"/>
  <c r="G43" i="9"/>
  <c r="H43" i="9"/>
  <c r="I43" i="9"/>
  <c r="J43" i="9"/>
  <c r="K43" i="9"/>
  <c r="L43" i="9"/>
  <c r="M43" i="9"/>
  <c r="N43" i="9"/>
  <c r="C43" i="9"/>
  <c r="D41" i="9"/>
  <c r="E41" i="9"/>
  <c r="F41" i="9"/>
  <c r="G41" i="9"/>
  <c r="H41" i="9"/>
  <c r="I41" i="9"/>
  <c r="J41" i="9"/>
  <c r="K41" i="9"/>
  <c r="L41" i="9"/>
  <c r="M41" i="9"/>
  <c r="N41" i="9"/>
  <c r="C41" i="9"/>
  <c r="D39" i="9"/>
  <c r="E39" i="9"/>
  <c r="F39" i="9"/>
  <c r="G39" i="9"/>
  <c r="H39" i="9"/>
  <c r="I39" i="9"/>
  <c r="J39" i="9"/>
  <c r="K39" i="9"/>
  <c r="L39" i="9"/>
  <c r="M39" i="9"/>
  <c r="N39" i="9"/>
  <c r="C39" i="9"/>
  <c r="D38" i="9"/>
  <c r="E38" i="9"/>
  <c r="F38" i="9"/>
  <c r="G38" i="9"/>
  <c r="H38" i="9"/>
  <c r="I38" i="9"/>
  <c r="J38" i="9"/>
  <c r="K38" i="9"/>
  <c r="L38" i="9"/>
  <c r="M38" i="9"/>
  <c r="N38" i="9"/>
  <c r="C38" i="9"/>
  <c r="D36" i="9"/>
  <c r="E36" i="9"/>
  <c r="F36" i="9"/>
  <c r="G36" i="9"/>
  <c r="H36" i="9"/>
  <c r="I36" i="9"/>
  <c r="J36" i="9"/>
  <c r="K36" i="9"/>
  <c r="L36" i="9"/>
  <c r="M36" i="9"/>
  <c r="N36" i="9"/>
  <c r="C36" i="9"/>
  <c r="D34" i="9"/>
  <c r="E34" i="9"/>
  <c r="F34" i="9"/>
  <c r="G34" i="9"/>
  <c r="H34" i="9"/>
  <c r="I34" i="9"/>
  <c r="J34" i="9"/>
  <c r="K34" i="9"/>
  <c r="L34" i="9"/>
  <c r="M34" i="9"/>
  <c r="N34" i="9"/>
  <c r="C34" i="9"/>
  <c r="D33" i="9"/>
  <c r="E33" i="9"/>
  <c r="F33" i="9"/>
  <c r="G33" i="9"/>
  <c r="H33" i="9"/>
  <c r="I33" i="9"/>
  <c r="J33" i="9"/>
  <c r="K33" i="9"/>
  <c r="L33" i="9"/>
  <c r="M33" i="9"/>
  <c r="N33" i="9"/>
  <c r="C33" i="9"/>
  <c r="D29" i="9"/>
  <c r="E29" i="9"/>
  <c r="F29" i="9"/>
  <c r="G29" i="9"/>
  <c r="H29" i="9"/>
  <c r="I29" i="9"/>
  <c r="J29" i="9"/>
  <c r="K29" i="9"/>
  <c r="L29" i="9"/>
  <c r="M29" i="9"/>
  <c r="N29" i="9"/>
  <c r="C29" i="9"/>
  <c r="D20" i="9"/>
  <c r="E20" i="9"/>
  <c r="F20" i="9"/>
  <c r="G20" i="9"/>
  <c r="H20" i="9"/>
  <c r="I20" i="9"/>
  <c r="J20" i="9"/>
  <c r="K20" i="9"/>
  <c r="L20" i="9"/>
  <c r="M20" i="9"/>
  <c r="N20" i="9"/>
  <c r="C20" i="9"/>
  <c r="D8" i="9"/>
  <c r="E8" i="9"/>
  <c r="F8" i="9"/>
  <c r="G8" i="9"/>
  <c r="H8" i="9"/>
  <c r="I8" i="9"/>
  <c r="J8" i="9"/>
  <c r="K8" i="9"/>
  <c r="L8" i="9"/>
  <c r="M8" i="9"/>
  <c r="N8" i="9"/>
  <c r="D10" i="9"/>
  <c r="E10" i="9"/>
  <c r="F10" i="9"/>
  <c r="G10" i="9"/>
  <c r="H10" i="9"/>
  <c r="I10" i="9"/>
  <c r="J10" i="9"/>
  <c r="K10" i="9"/>
  <c r="L10" i="9"/>
  <c r="M10" i="9"/>
  <c r="N10" i="9"/>
  <c r="C10" i="9"/>
  <c r="D9" i="9"/>
  <c r="E9" i="9"/>
  <c r="F9" i="9"/>
  <c r="G9" i="9"/>
  <c r="H9" i="9"/>
  <c r="I9" i="9"/>
  <c r="J9" i="9"/>
  <c r="K9" i="9"/>
  <c r="L9" i="9"/>
  <c r="M9" i="9"/>
  <c r="N9" i="9"/>
  <c r="C9" i="9"/>
  <c r="C8" i="9"/>
  <c r="D7" i="9"/>
  <c r="E7" i="9"/>
  <c r="F7" i="9"/>
  <c r="G7" i="9"/>
  <c r="H7" i="9"/>
  <c r="I7" i="9"/>
  <c r="J7" i="9"/>
  <c r="K7" i="9"/>
  <c r="L7" i="9"/>
  <c r="M7" i="9"/>
  <c r="N7" i="9"/>
  <c r="C7" i="9"/>
  <c r="D4" i="9"/>
  <c r="E4" i="9"/>
  <c r="E6" i="9" s="1"/>
  <c r="F4" i="9"/>
  <c r="G4" i="9"/>
  <c r="H4" i="9"/>
  <c r="I4" i="9"/>
  <c r="J4" i="9"/>
  <c r="J6" i="9" s="1"/>
  <c r="K4" i="9"/>
  <c r="K6" i="9" s="1"/>
  <c r="L4" i="9"/>
  <c r="M4" i="9"/>
  <c r="N4" i="9"/>
  <c r="C4" i="9"/>
  <c r="C6" i="9" s="1"/>
  <c r="O42" i="9"/>
  <c r="O41" i="9"/>
  <c r="N37" i="9"/>
  <c r="M37" i="9"/>
  <c r="L37" i="9"/>
  <c r="K37" i="9"/>
  <c r="J37" i="9"/>
  <c r="I37" i="9"/>
  <c r="H37" i="9"/>
  <c r="G37" i="9"/>
  <c r="F37" i="9"/>
  <c r="E37" i="9"/>
  <c r="D37" i="9"/>
  <c r="C37" i="9"/>
  <c r="O35" i="9"/>
  <c r="O32" i="9"/>
  <c r="O31" i="9"/>
  <c r="N30" i="9"/>
  <c r="M30" i="9"/>
  <c r="L30" i="9"/>
  <c r="K30" i="9"/>
  <c r="J30" i="9"/>
  <c r="I30" i="9"/>
  <c r="H30" i="9"/>
  <c r="G30" i="9"/>
  <c r="F30" i="9"/>
  <c r="E30" i="9"/>
  <c r="D30" i="9"/>
  <c r="C30" i="9"/>
  <c r="O28" i="9"/>
  <c r="N22" i="9"/>
  <c r="N24" i="9" s="1"/>
  <c r="M22" i="9"/>
  <c r="M24" i="9" s="1"/>
  <c r="L22" i="9"/>
  <c r="K22" i="9"/>
  <c r="J22" i="9"/>
  <c r="I22" i="9"/>
  <c r="H22" i="9"/>
  <c r="G22" i="9"/>
  <c r="G24" i="9" s="1"/>
  <c r="F22" i="9"/>
  <c r="F24" i="9" s="1"/>
  <c r="E22" i="9"/>
  <c r="E24" i="9" s="1"/>
  <c r="D22" i="9"/>
  <c r="C22" i="9"/>
  <c r="O21" i="9"/>
  <c r="L24" i="9"/>
  <c r="J24" i="9"/>
  <c r="N16" i="9"/>
  <c r="M16" i="9"/>
  <c r="L16" i="9"/>
  <c r="K16" i="9"/>
  <c r="J16" i="9"/>
  <c r="I16" i="9"/>
  <c r="H16" i="9"/>
  <c r="G16" i="9"/>
  <c r="F16" i="9"/>
  <c r="E16" i="9"/>
  <c r="D16" i="9"/>
  <c r="C16" i="9"/>
  <c r="O15" i="9"/>
  <c r="O14" i="9"/>
  <c r="O13" i="9"/>
  <c r="N6" i="9"/>
  <c r="M6" i="9"/>
  <c r="L6" i="9"/>
  <c r="L11" i="9" s="1"/>
  <c r="L18" i="9" s="1"/>
  <c r="G6" i="9"/>
  <c r="G11" i="9" s="1"/>
  <c r="G18" i="9" s="1"/>
  <c r="F6" i="9"/>
  <c r="D6" i="9"/>
  <c r="D11" i="9" s="1"/>
  <c r="D18" i="9" s="1"/>
  <c r="I6" i="9"/>
  <c r="H6" i="9"/>
  <c r="D41" i="8"/>
  <c r="E41" i="8"/>
  <c r="F41" i="8"/>
  <c r="G41" i="8"/>
  <c r="H41" i="8"/>
  <c r="I41" i="8"/>
  <c r="J41" i="8"/>
  <c r="K41" i="8"/>
  <c r="L41" i="8"/>
  <c r="M41" i="8"/>
  <c r="N41" i="8"/>
  <c r="C41" i="8"/>
  <c r="D39" i="8"/>
  <c r="E39" i="8"/>
  <c r="F39" i="8"/>
  <c r="G39" i="8"/>
  <c r="H39" i="8"/>
  <c r="I39" i="8"/>
  <c r="J39" i="8"/>
  <c r="K39" i="8"/>
  <c r="L39" i="8"/>
  <c r="M39" i="8"/>
  <c r="N39" i="8"/>
  <c r="C39" i="8"/>
  <c r="D38" i="8"/>
  <c r="E38" i="8"/>
  <c r="F38" i="8"/>
  <c r="G38" i="8"/>
  <c r="H38" i="8"/>
  <c r="I38" i="8"/>
  <c r="J38" i="8"/>
  <c r="K38" i="8"/>
  <c r="L38" i="8"/>
  <c r="M38" i="8"/>
  <c r="N38" i="8"/>
  <c r="C38" i="8"/>
  <c r="D36" i="8"/>
  <c r="E36" i="8"/>
  <c r="F36" i="8"/>
  <c r="G36" i="8"/>
  <c r="H36" i="8"/>
  <c r="I36" i="8"/>
  <c r="J36" i="8"/>
  <c r="K36" i="8"/>
  <c r="L36" i="8"/>
  <c r="M36" i="8"/>
  <c r="N36" i="8"/>
  <c r="C36" i="8"/>
  <c r="D34" i="8"/>
  <c r="E34" i="8"/>
  <c r="F34" i="8"/>
  <c r="G34" i="8"/>
  <c r="H34" i="8"/>
  <c r="I34" i="8"/>
  <c r="J34" i="8"/>
  <c r="K34" i="8"/>
  <c r="L34" i="8"/>
  <c r="M34" i="8"/>
  <c r="N34" i="8"/>
  <c r="C34" i="8"/>
  <c r="D33" i="8"/>
  <c r="E33" i="8"/>
  <c r="F33" i="8"/>
  <c r="G33" i="8"/>
  <c r="H33" i="8"/>
  <c r="I33" i="8"/>
  <c r="J33" i="8"/>
  <c r="K33" i="8"/>
  <c r="L33" i="8"/>
  <c r="M33" i="8"/>
  <c r="N33" i="8"/>
  <c r="C33" i="8"/>
  <c r="D29" i="8"/>
  <c r="E29" i="8"/>
  <c r="F29" i="8"/>
  <c r="G29" i="8"/>
  <c r="H29" i="8"/>
  <c r="I29" i="8"/>
  <c r="J29" i="8"/>
  <c r="K29" i="8"/>
  <c r="L29" i="8"/>
  <c r="M29" i="8"/>
  <c r="N29" i="8"/>
  <c r="C29" i="8"/>
  <c r="D10" i="8"/>
  <c r="E10" i="8"/>
  <c r="F10" i="8"/>
  <c r="G10" i="8"/>
  <c r="H10" i="8"/>
  <c r="I10" i="8"/>
  <c r="J10" i="8"/>
  <c r="K10" i="8"/>
  <c r="L10" i="8"/>
  <c r="M10" i="8"/>
  <c r="N10" i="8"/>
  <c r="C10" i="8"/>
  <c r="D9" i="8"/>
  <c r="E9" i="8"/>
  <c r="F9" i="8"/>
  <c r="G9" i="8"/>
  <c r="H9" i="8"/>
  <c r="I9" i="8"/>
  <c r="J9" i="8"/>
  <c r="K9" i="8"/>
  <c r="L9" i="8"/>
  <c r="M9" i="8"/>
  <c r="N9" i="8"/>
  <c r="C9" i="8"/>
  <c r="D8" i="8"/>
  <c r="E8" i="8"/>
  <c r="F8" i="8"/>
  <c r="G8" i="8"/>
  <c r="H8" i="8"/>
  <c r="I8" i="8"/>
  <c r="J8" i="8"/>
  <c r="K8" i="8"/>
  <c r="L8" i="8"/>
  <c r="M8" i="8"/>
  <c r="N8" i="8"/>
  <c r="C8" i="8"/>
  <c r="D7" i="8"/>
  <c r="E7" i="8"/>
  <c r="F7" i="8"/>
  <c r="G7" i="8"/>
  <c r="H7" i="8"/>
  <c r="I7" i="8"/>
  <c r="J7" i="8"/>
  <c r="K7" i="8"/>
  <c r="L7" i="8"/>
  <c r="M7" i="8"/>
  <c r="N7" i="8"/>
  <c r="C7" i="8"/>
  <c r="D4" i="8"/>
  <c r="E4" i="8"/>
  <c r="F4" i="8"/>
  <c r="F6" i="8" s="1"/>
  <c r="F11" i="8" s="1"/>
  <c r="G4" i="8"/>
  <c r="H4" i="8"/>
  <c r="I4" i="8"/>
  <c r="J4" i="8"/>
  <c r="J6" i="8" s="1"/>
  <c r="K4" i="8"/>
  <c r="K6" i="8" s="1"/>
  <c r="L4" i="8"/>
  <c r="M4" i="8"/>
  <c r="N4" i="8"/>
  <c r="C4" i="8"/>
  <c r="D33" i="7"/>
  <c r="E33" i="7"/>
  <c r="F33" i="7"/>
  <c r="G33" i="7"/>
  <c r="H33" i="7"/>
  <c r="I33" i="7"/>
  <c r="J33" i="7"/>
  <c r="K33" i="7"/>
  <c r="L33" i="7"/>
  <c r="M33" i="7"/>
  <c r="N33" i="7"/>
  <c r="C33" i="7"/>
  <c r="O43" i="8"/>
  <c r="O42" i="8"/>
  <c r="O41" i="8"/>
  <c r="N37" i="8"/>
  <c r="M37" i="8"/>
  <c r="L37" i="8"/>
  <c r="K37" i="8"/>
  <c r="J37" i="8"/>
  <c r="I37" i="8"/>
  <c r="H37" i="8"/>
  <c r="G37" i="8"/>
  <c r="F37" i="8"/>
  <c r="E37" i="8"/>
  <c r="D37" i="8"/>
  <c r="C37" i="8"/>
  <c r="O35" i="8"/>
  <c r="O32" i="8"/>
  <c r="O31" i="8"/>
  <c r="N30" i="8"/>
  <c r="M30" i="8"/>
  <c r="L30" i="8"/>
  <c r="K30" i="8"/>
  <c r="J30" i="8"/>
  <c r="I30" i="8"/>
  <c r="H30" i="8"/>
  <c r="G30" i="8"/>
  <c r="F30" i="8"/>
  <c r="E30" i="8"/>
  <c r="D30" i="8"/>
  <c r="C30" i="8"/>
  <c r="O30" i="8" s="1"/>
  <c r="O28" i="8"/>
  <c r="N22" i="8"/>
  <c r="M22" i="8"/>
  <c r="L22" i="8"/>
  <c r="K22" i="8"/>
  <c r="J22" i="8"/>
  <c r="I22" i="8"/>
  <c r="H22" i="8"/>
  <c r="G22" i="8"/>
  <c r="F22" i="8"/>
  <c r="E22" i="8"/>
  <c r="D22" i="8"/>
  <c r="C22" i="8"/>
  <c r="O22" i="8" s="1"/>
  <c r="O21" i="8"/>
  <c r="N20" i="8"/>
  <c r="N24" i="8" s="1"/>
  <c r="M20" i="8"/>
  <c r="M24" i="8" s="1"/>
  <c r="L20" i="8"/>
  <c r="L24" i="8" s="1"/>
  <c r="K20" i="8"/>
  <c r="K24" i="8" s="1"/>
  <c r="J20" i="8"/>
  <c r="J24" i="8" s="1"/>
  <c r="I20" i="8"/>
  <c r="I24" i="8" s="1"/>
  <c r="H20" i="8"/>
  <c r="H24" i="8" s="1"/>
  <c r="G20" i="8"/>
  <c r="G24" i="8" s="1"/>
  <c r="F20" i="8"/>
  <c r="F24" i="8" s="1"/>
  <c r="E20" i="8"/>
  <c r="E24" i="8" s="1"/>
  <c r="D20" i="8"/>
  <c r="D24" i="8" s="1"/>
  <c r="C20" i="8"/>
  <c r="O20" i="8" s="1"/>
  <c r="O24" i="8" s="1"/>
  <c r="D5" i="4" s="1"/>
  <c r="N16" i="8"/>
  <c r="M16" i="8"/>
  <c r="L16" i="8"/>
  <c r="K16" i="8"/>
  <c r="J16" i="8"/>
  <c r="I16" i="8"/>
  <c r="H16" i="8"/>
  <c r="G16" i="8"/>
  <c r="F16" i="8"/>
  <c r="E16" i="8"/>
  <c r="D16" i="8"/>
  <c r="C16" i="8"/>
  <c r="O15" i="8"/>
  <c r="O14" i="8"/>
  <c r="O13" i="8"/>
  <c r="O16" i="8" s="1"/>
  <c r="N6" i="8"/>
  <c r="M6" i="8"/>
  <c r="M11" i="8" s="1"/>
  <c r="M18" i="8" s="1"/>
  <c r="L6" i="8"/>
  <c r="L11" i="8" s="1"/>
  <c r="L18" i="8" s="1"/>
  <c r="G6" i="8"/>
  <c r="G11" i="8" s="1"/>
  <c r="G18" i="8" s="1"/>
  <c r="E6" i="8"/>
  <c r="D6" i="8"/>
  <c r="C6" i="8"/>
  <c r="I6" i="8"/>
  <c r="H6" i="8"/>
  <c r="H11" i="8" s="1"/>
  <c r="H18" i="8" s="1"/>
  <c r="O4" i="8"/>
  <c r="D34" i="7"/>
  <c r="E34" i="7"/>
  <c r="F34" i="7"/>
  <c r="G34" i="7"/>
  <c r="H34" i="7"/>
  <c r="I34" i="7"/>
  <c r="J34" i="7"/>
  <c r="K34" i="7"/>
  <c r="L34" i="7"/>
  <c r="M34" i="7"/>
  <c r="N34" i="7"/>
  <c r="C34" i="7"/>
  <c r="D10" i="7"/>
  <c r="E10" i="7"/>
  <c r="F10" i="7"/>
  <c r="G10" i="7"/>
  <c r="H10" i="7"/>
  <c r="I10" i="7"/>
  <c r="J10" i="7"/>
  <c r="K10" i="7"/>
  <c r="L10" i="7"/>
  <c r="M10" i="7"/>
  <c r="N10" i="7"/>
  <c r="C10" i="7"/>
  <c r="D9" i="7"/>
  <c r="E9" i="7"/>
  <c r="F9" i="7"/>
  <c r="G9" i="7"/>
  <c r="H9" i="7"/>
  <c r="I9" i="7"/>
  <c r="J9" i="7"/>
  <c r="K9" i="7"/>
  <c r="L9" i="7"/>
  <c r="M9" i="7"/>
  <c r="N9" i="7"/>
  <c r="C9" i="7"/>
  <c r="D8" i="7"/>
  <c r="E8" i="7"/>
  <c r="F8" i="7"/>
  <c r="G8" i="7"/>
  <c r="H8" i="7"/>
  <c r="I8" i="7"/>
  <c r="J8" i="7"/>
  <c r="K8" i="7"/>
  <c r="L8" i="7"/>
  <c r="M8" i="7"/>
  <c r="N8" i="7"/>
  <c r="C8" i="7"/>
  <c r="D7" i="7"/>
  <c r="E7" i="7"/>
  <c r="F7" i="7"/>
  <c r="G7" i="7"/>
  <c r="H7" i="7"/>
  <c r="I7" i="7"/>
  <c r="J7" i="7"/>
  <c r="K7" i="7"/>
  <c r="L7" i="7"/>
  <c r="M7" i="7"/>
  <c r="N7" i="7"/>
  <c r="C7" i="7"/>
  <c r="C4" i="7"/>
  <c r="D4" i="7"/>
  <c r="E4" i="7"/>
  <c r="F4" i="7"/>
  <c r="F6" i="7" s="1"/>
  <c r="G4" i="7"/>
  <c r="H4" i="7"/>
  <c r="H6" i="7" s="1"/>
  <c r="I4" i="7"/>
  <c r="J4" i="7"/>
  <c r="K4" i="7"/>
  <c r="K6" i="7" s="1"/>
  <c r="L4" i="7"/>
  <c r="M4" i="7"/>
  <c r="M6" i="7" s="1"/>
  <c r="N4" i="7"/>
  <c r="C6" i="7"/>
  <c r="O43" i="7"/>
  <c r="O42" i="7"/>
  <c r="N41" i="7"/>
  <c r="M41" i="7"/>
  <c r="L41" i="7"/>
  <c r="K41" i="7"/>
  <c r="J41" i="7"/>
  <c r="I41" i="7"/>
  <c r="H41" i="7"/>
  <c r="G41" i="7"/>
  <c r="F41" i="7"/>
  <c r="E41" i="7"/>
  <c r="D41" i="7"/>
  <c r="C41" i="7"/>
  <c r="N39" i="7"/>
  <c r="M39" i="7"/>
  <c r="L39" i="7"/>
  <c r="K39" i="7"/>
  <c r="J39" i="7"/>
  <c r="I39" i="7"/>
  <c r="H39" i="7"/>
  <c r="G39" i="7"/>
  <c r="F39" i="7"/>
  <c r="E39" i="7"/>
  <c r="D39" i="7"/>
  <c r="C39" i="7"/>
  <c r="N38" i="7"/>
  <c r="M38" i="7"/>
  <c r="L38" i="7"/>
  <c r="K38" i="7"/>
  <c r="J38" i="7"/>
  <c r="I38" i="7"/>
  <c r="H38" i="7"/>
  <c r="G38" i="7"/>
  <c r="F38" i="7"/>
  <c r="E38" i="7"/>
  <c r="D38" i="7"/>
  <c r="C38" i="7"/>
  <c r="O38" i="7" s="1"/>
  <c r="N37" i="7"/>
  <c r="M37" i="7"/>
  <c r="L37" i="7"/>
  <c r="K37" i="7"/>
  <c r="J37" i="7"/>
  <c r="I37" i="7"/>
  <c r="H37" i="7"/>
  <c r="G37" i="7"/>
  <c r="F37" i="7"/>
  <c r="E37" i="7"/>
  <c r="D37" i="7"/>
  <c r="C37" i="7"/>
  <c r="O36" i="7"/>
  <c r="O35" i="7"/>
  <c r="O32" i="7"/>
  <c r="O31" i="7"/>
  <c r="N30" i="7"/>
  <c r="M30" i="7"/>
  <c r="L30" i="7"/>
  <c r="K30" i="7"/>
  <c r="J30" i="7"/>
  <c r="I30" i="7"/>
  <c r="H30" i="7"/>
  <c r="G30" i="7"/>
  <c r="F30" i="7"/>
  <c r="E30" i="7"/>
  <c r="D30" i="7"/>
  <c r="C30" i="7"/>
  <c r="O30" i="7" s="1"/>
  <c r="O29" i="7"/>
  <c r="O28" i="7"/>
  <c r="N22" i="7"/>
  <c r="M22" i="7"/>
  <c r="L22" i="7"/>
  <c r="K22" i="7"/>
  <c r="J22" i="7"/>
  <c r="I22" i="7"/>
  <c r="H22" i="7"/>
  <c r="G22" i="7"/>
  <c r="F22" i="7"/>
  <c r="E22" i="7"/>
  <c r="D22" i="7"/>
  <c r="C22" i="7"/>
  <c r="O22" i="7" s="1"/>
  <c r="O21" i="7"/>
  <c r="N20" i="7"/>
  <c r="N24" i="7" s="1"/>
  <c r="M20" i="7"/>
  <c r="M24" i="7" s="1"/>
  <c r="L20" i="7"/>
  <c r="L24" i="7" s="1"/>
  <c r="K20" i="7"/>
  <c r="K24" i="7" s="1"/>
  <c r="J20" i="7"/>
  <c r="J24" i="7" s="1"/>
  <c r="I20" i="7"/>
  <c r="I24" i="7" s="1"/>
  <c r="H20" i="7"/>
  <c r="H24" i="7" s="1"/>
  <c r="G20" i="7"/>
  <c r="G24" i="7" s="1"/>
  <c r="F20" i="7"/>
  <c r="F24" i="7" s="1"/>
  <c r="E20" i="7"/>
  <c r="E24" i="7" s="1"/>
  <c r="D20" i="7"/>
  <c r="C20" i="7"/>
  <c r="O20" i="7" s="1"/>
  <c r="N16" i="7"/>
  <c r="M16" i="7"/>
  <c r="L16" i="7"/>
  <c r="K16" i="7"/>
  <c r="J16" i="7"/>
  <c r="I16" i="7"/>
  <c r="H16" i="7"/>
  <c r="G16" i="7"/>
  <c r="F16" i="7"/>
  <c r="E16" i="7"/>
  <c r="D16" i="7"/>
  <c r="C16" i="7"/>
  <c r="O15" i="7"/>
  <c r="O14" i="7"/>
  <c r="O13" i="7"/>
  <c r="N6" i="7"/>
  <c r="L6" i="7"/>
  <c r="L11" i="7" s="1"/>
  <c r="L18" i="7" s="1"/>
  <c r="E6" i="7"/>
  <c r="D6" i="7"/>
  <c r="J6" i="7"/>
  <c r="I6" i="7"/>
  <c r="G6" i="7"/>
  <c r="G11" i="7" s="1"/>
  <c r="G18" i="7" s="1"/>
  <c r="D22" i="2"/>
  <c r="E22" i="2"/>
  <c r="F22" i="2"/>
  <c r="G22" i="2"/>
  <c r="H22" i="2"/>
  <c r="I22" i="2"/>
  <c r="J22" i="2"/>
  <c r="K22" i="2"/>
  <c r="L22" i="2"/>
  <c r="M22" i="2"/>
  <c r="N22" i="2"/>
  <c r="C22" i="2"/>
  <c r="B26" i="6"/>
  <c r="B7" i="6"/>
  <c r="B13" i="6"/>
  <c r="B19" i="6"/>
  <c r="D20" i="2"/>
  <c r="E20" i="2"/>
  <c r="F20" i="2"/>
  <c r="G20" i="2"/>
  <c r="H20" i="2"/>
  <c r="I20" i="2"/>
  <c r="J20" i="2"/>
  <c r="K20" i="2"/>
  <c r="L20" i="2"/>
  <c r="M20" i="2"/>
  <c r="N20" i="2"/>
  <c r="C20" i="2"/>
  <c r="C16" i="2"/>
  <c r="D33" i="2"/>
  <c r="E33" i="2"/>
  <c r="F33" i="2"/>
  <c r="G33" i="2"/>
  <c r="H33" i="2"/>
  <c r="I33" i="2"/>
  <c r="J33" i="2"/>
  <c r="K33" i="2"/>
  <c r="L33" i="2"/>
  <c r="M33" i="2"/>
  <c r="N33" i="2"/>
  <c r="C33" i="2"/>
  <c r="D39" i="2"/>
  <c r="E39" i="2"/>
  <c r="F39" i="2"/>
  <c r="G39" i="2"/>
  <c r="H39" i="2"/>
  <c r="I39" i="2"/>
  <c r="J39" i="2"/>
  <c r="K39" i="2"/>
  <c r="L39" i="2"/>
  <c r="M39" i="2"/>
  <c r="N39" i="2"/>
  <c r="C39" i="2"/>
  <c r="D41" i="2"/>
  <c r="E41" i="2"/>
  <c r="F41" i="2"/>
  <c r="G41" i="2"/>
  <c r="H41" i="2"/>
  <c r="I41" i="2"/>
  <c r="J41" i="2"/>
  <c r="K41" i="2"/>
  <c r="L41" i="2"/>
  <c r="M41" i="2"/>
  <c r="N41" i="2"/>
  <c r="C41" i="2"/>
  <c r="D17" i="1"/>
  <c r="D38" i="2"/>
  <c r="E38" i="2"/>
  <c r="F38" i="2"/>
  <c r="G38" i="2"/>
  <c r="H38" i="2"/>
  <c r="I38" i="2"/>
  <c r="J38" i="2"/>
  <c r="K38" i="2"/>
  <c r="L38" i="2"/>
  <c r="M38" i="2"/>
  <c r="N38" i="2"/>
  <c r="C38" i="2"/>
  <c r="D34" i="2"/>
  <c r="E34" i="2"/>
  <c r="F34" i="2"/>
  <c r="G34" i="2"/>
  <c r="H34" i="2"/>
  <c r="I34" i="2"/>
  <c r="J34" i="2"/>
  <c r="K34" i="2"/>
  <c r="L34" i="2"/>
  <c r="M34" i="2"/>
  <c r="N34" i="2"/>
  <c r="C34" i="2"/>
  <c r="D10" i="2"/>
  <c r="E10" i="2"/>
  <c r="F10" i="2"/>
  <c r="G10" i="2"/>
  <c r="H10" i="2"/>
  <c r="I10" i="2"/>
  <c r="J10" i="2"/>
  <c r="K10" i="2"/>
  <c r="L10" i="2"/>
  <c r="M10" i="2"/>
  <c r="N10" i="2"/>
  <c r="C10" i="2"/>
  <c r="D9" i="2"/>
  <c r="E9" i="2"/>
  <c r="F9" i="2"/>
  <c r="G9" i="2"/>
  <c r="H9" i="2"/>
  <c r="I9" i="2"/>
  <c r="J9" i="2"/>
  <c r="K9" i="2"/>
  <c r="L9" i="2"/>
  <c r="M9" i="2"/>
  <c r="N9" i="2"/>
  <c r="C9" i="2"/>
  <c r="D8" i="2"/>
  <c r="E8" i="2"/>
  <c r="F8" i="2"/>
  <c r="G8" i="2"/>
  <c r="H8" i="2"/>
  <c r="I8" i="2"/>
  <c r="J8" i="2"/>
  <c r="K8" i="2"/>
  <c r="L8" i="2"/>
  <c r="M8" i="2"/>
  <c r="N8" i="2"/>
  <c r="C8" i="2"/>
  <c r="D7" i="2"/>
  <c r="E7" i="2"/>
  <c r="F7" i="2"/>
  <c r="G7" i="2"/>
  <c r="H7" i="2"/>
  <c r="I7" i="2"/>
  <c r="J7" i="2"/>
  <c r="K7" i="2"/>
  <c r="L7" i="2"/>
  <c r="M7" i="2"/>
  <c r="N7" i="2"/>
  <c r="C7" i="2"/>
  <c r="D4" i="2"/>
  <c r="E4" i="2"/>
  <c r="F4" i="2"/>
  <c r="G4" i="2"/>
  <c r="H4" i="2"/>
  <c r="I4" i="2"/>
  <c r="J4" i="2"/>
  <c r="K4" i="2"/>
  <c r="L4" i="2"/>
  <c r="M4" i="2"/>
  <c r="N4" i="2"/>
  <c r="C4" i="2"/>
  <c r="D37" i="2"/>
  <c r="E37" i="2"/>
  <c r="F37" i="2"/>
  <c r="G37" i="2"/>
  <c r="H37" i="2"/>
  <c r="I37" i="2"/>
  <c r="J37" i="2"/>
  <c r="K37" i="2"/>
  <c r="L37" i="2"/>
  <c r="M37" i="2"/>
  <c r="N37" i="2"/>
  <c r="C37" i="2"/>
  <c r="F4" i="3"/>
  <c r="G4" i="3"/>
  <c r="H4" i="3"/>
  <c r="I4" i="3"/>
  <c r="F5" i="3"/>
  <c r="G5" i="3" s="1"/>
  <c r="H5" i="3" s="1"/>
  <c r="I5" i="3" s="1"/>
  <c r="F6" i="3"/>
  <c r="G6" i="3"/>
  <c r="H6" i="3"/>
  <c r="I6" i="3"/>
  <c r="F7" i="3"/>
  <c r="G7" i="3" s="1"/>
  <c r="H7" i="3" s="1"/>
  <c r="I7" i="3" s="1"/>
  <c r="G3" i="3"/>
  <c r="H3" i="3"/>
  <c r="I3" i="3"/>
  <c r="F3" i="3"/>
  <c r="E9" i="3"/>
  <c r="E4" i="3"/>
  <c r="E5" i="3"/>
  <c r="E6" i="3"/>
  <c r="E7" i="3"/>
  <c r="E3" i="3"/>
  <c r="O22" i="10" l="1"/>
  <c r="F18" i="10"/>
  <c r="O7" i="10"/>
  <c r="O8" i="10"/>
  <c r="O9" i="10"/>
  <c r="O10" i="10"/>
  <c r="N24" i="10"/>
  <c r="J24" i="10"/>
  <c r="I24" i="10"/>
  <c r="H24" i="10"/>
  <c r="F24" i="10"/>
  <c r="O36" i="10"/>
  <c r="O16" i="9"/>
  <c r="O37" i="9"/>
  <c r="O4" i="9"/>
  <c r="O7" i="9"/>
  <c r="K24" i="9"/>
  <c r="I24" i="9"/>
  <c r="H24" i="9"/>
  <c r="D24" i="9"/>
  <c r="O36" i="9"/>
  <c r="O37" i="8"/>
  <c r="F18" i="8"/>
  <c r="O7" i="8"/>
  <c r="O8" i="8"/>
  <c r="O9" i="8"/>
  <c r="O10" i="8"/>
  <c r="O29" i="8"/>
  <c r="O36" i="8"/>
  <c r="O30" i="9"/>
  <c r="O16" i="7"/>
  <c r="D24" i="7"/>
  <c r="O37" i="7"/>
  <c r="O4" i="7"/>
  <c r="O7" i="7"/>
  <c r="O8" i="7"/>
  <c r="D23" i="1"/>
  <c r="E44" i="8"/>
  <c r="N44" i="8"/>
  <c r="N44" i="9" s="1"/>
  <c r="N44" i="10" s="1"/>
  <c r="N46" i="10" s="1"/>
  <c r="M44" i="8"/>
  <c r="M44" i="9" s="1"/>
  <c r="M44" i="10" s="1"/>
  <c r="L44" i="8"/>
  <c r="L44" i="9" s="1"/>
  <c r="L44" i="10" s="1"/>
  <c r="K44" i="8"/>
  <c r="K44" i="9" s="1"/>
  <c r="K44" i="10" s="1"/>
  <c r="J44" i="8"/>
  <c r="J44" i="9" s="1"/>
  <c r="J44" i="10" s="1"/>
  <c r="I44" i="8"/>
  <c r="I44" i="9" s="1"/>
  <c r="I44" i="10" s="1"/>
  <c r="H44" i="8"/>
  <c r="H44" i="9" s="1"/>
  <c r="H44" i="10" s="1"/>
  <c r="G44" i="8"/>
  <c r="G44" i="9" s="1"/>
  <c r="G44" i="10" s="1"/>
  <c r="F44" i="8"/>
  <c r="F44" i="9" s="1"/>
  <c r="F44" i="10" s="1"/>
  <c r="D44" i="8"/>
  <c r="D44" i="9" s="1"/>
  <c r="C44" i="8"/>
  <c r="N44" i="7"/>
  <c r="M44" i="7"/>
  <c r="L44" i="7"/>
  <c r="K44" i="7"/>
  <c r="J44" i="7"/>
  <c r="I44" i="7"/>
  <c r="H44" i="7"/>
  <c r="G44" i="7"/>
  <c r="F44" i="7"/>
  <c r="E44" i="7"/>
  <c r="D44" i="7"/>
  <c r="C44" i="7"/>
  <c r="O44" i="7" s="1"/>
  <c r="E44" i="2"/>
  <c r="D44" i="2"/>
  <c r="F44" i="2"/>
  <c r="G44" i="2"/>
  <c r="H44" i="2"/>
  <c r="I44" i="2"/>
  <c r="J44" i="2"/>
  <c r="K44" i="2"/>
  <c r="L44" i="2"/>
  <c r="M44" i="2"/>
  <c r="N44" i="2"/>
  <c r="C44" i="2"/>
  <c r="F46" i="7"/>
  <c r="N46" i="7"/>
  <c r="O39" i="7"/>
  <c r="G46" i="7"/>
  <c r="O34" i="7"/>
  <c r="E46" i="8"/>
  <c r="M46" i="8"/>
  <c r="O34" i="8"/>
  <c r="O38" i="8"/>
  <c r="G46" i="8"/>
  <c r="O39" i="8"/>
  <c r="O43" i="9"/>
  <c r="F46" i="10"/>
  <c r="O33" i="10"/>
  <c r="M46" i="10"/>
  <c r="O34" i="10"/>
  <c r="O38" i="10"/>
  <c r="O39" i="10"/>
  <c r="O43" i="10"/>
  <c r="J46" i="10"/>
  <c r="O41" i="10"/>
  <c r="H46" i="10"/>
  <c r="I46" i="10"/>
  <c r="K46" i="10"/>
  <c r="L46" i="10"/>
  <c r="L50" i="10" s="1"/>
  <c r="G46" i="10"/>
  <c r="N11" i="10"/>
  <c r="N18" i="10" s="1"/>
  <c r="N50" i="10" s="1"/>
  <c r="G11" i="10"/>
  <c r="G18" i="10" s="1"/>
  <c r="G26" i="10" s="1"/>
  <c r="H11" i="10"/>
  <c r="H18" i="10" s="1"/>
  <c r="J11" i="10"/>
  <c r="J18" i="10" s="1"/>
  <c r="J26" i="10" s="1"/>
  <c r="J51" i="10" s="1"/>
  <c r="I11" i="10"/>
  <c r="I18" i="10" s="1"/>
  <c r="K11" i="10"/>
  <c r="K18" i="10" s="1"/>
  <c r="K26" i="10" s="1"/>
  <c r="O4" i="10"/>
  <c r="H26" i="10"/>
  <c r="J48" i="10"/>
  <c r="L26" i="10"/>
  <c r="E26" i="10"/>
  <c r="N48" i="10"/>
  <c r="N26" i="10"/>
  <c r="N51" i="10" s="1"/>
  <c r="C26" i="10"/>
  <c r="M48" i="10"/>
  <c r="M26" i="10"/>
  <c r="M51" i="10" s="1"/>
  <c r="M50" i="10"/>
  <c r="F26" i="10"/>
  <c r="F51" i="10" s="1"/>
  <c r="F50" i="10"/>
  <c r="F48" i="10"/>
  <c r="O20" i="10"/>
  <c r="O24" i="10" s="1"/>
  <c r="F5" i="4" s="1"/>
  <c r="D6" i="10"/>
  <c r="O29" i="10"/>
  <c r="H46" i="9"/>
  <c r="O33" i="9"/>
  <c r="G46" i="9"/>
  <c r="G48" i="9" s="1"/>
  <c r="I46" i="9"/>
  <c r="O10" i="9"/>
  <c r="K11" i="9"/>
  <c r="K18" i="9" s="1"/>
  <c r="K26" i="9" s="1"/>
  <c r="J11" i="9"/>
  <c r="J18" i="9" s="1"/>
  <c r="G26" i="9"/>
  <c r="L26" i="9"/>
  <c r="D26" i="9"/>
  <c r="O8" i="9"/>
  <c r="O38" i="9"/>
  <c r="M11" i="9"/>
  <c r="M18" i="9" s="1"/>
  <c r="J46" i="9"/>
  <c r="O6" i="9"/>
  <c r="N11" i="9"/>
  <c r="N18" i="9" s="1"/>
  <c r="O29" i="9"/>
  <c r="K46" i="9"/>
  <c r="O34" i="9"/>
  <c r="L46" i="9"/>
  <c r="L50" i="9" s="1"/>
  <c r="I11" i="9"/>
  <c r="I18" i="9" s="1"/>
  <c r="E11" i="9"/>
  <c r="E18" i="9" s="1"/>
  <c r="O22" i="9"/>
  <c r="M46" i="9"/>
  <c r="O20" i="9"/>
  <c r="O24" i="9" s="1"/>
  <c r="E5" i="4" s="1"/>
  <c r="H11" i="9"/>
  <c r="H18" i="9" s="1"/>
  <c r="D46" i="9"/>
  <c r="D50" i="9" s="1"/>
  <c r="F11" i="9"/>
  <c r="F18" i="9" s="1"/>
  <c r="O9" i="9"/>
  <c r="C11" i="9"/>
  <c r="C18" i="9" s="1"/>
  <c r="F46" i="9"/>
  <c r="N46" i="9"/>
  <c r="O39" i="9"/>
  <c r="C24" i="9"/>
  <c r="F46" i="8"/>
  <c r="F50" i="8" s="1"/>
  <c r="N46" i="8"/>
  <c r="D46" i="8"/>
  <c r="L46" i="8"/>
  <c r="L50" i="8" s="1"/>
  <c r="K46" i="8"/>
  <c r="O33" i="8"/>
  <c r="H46" i="8"/>
  <c r="H50" i="8" s="1"/>
  <c r="I46" i="8"/>
  <c r="J46" i="8"/>
  <c r="D11" i="8"/>
  <c r="D18" i="8" s="1"/>
  <c r="N11" i="8"/>
  <c r="N18" i="8" s="1"/>
  <c r="I11" i="8"/>
  <c r="I18" i="8" s="1"/>
  <c r="K11" i="8"/>
  <c r="K18" i="8" s="1"/>
  <c r="J11" i="8"/>
  <c r="J18" i="8" s="1"/>
  <c r="J26" i="8" s="1"/>
  <c r="E11" i="8"/>
  <c r="E18" i="8" s="1"/>
  <c r="E50" i="8" s="1"/>
  <c r="O6" i="8"/>
  <c r="O11" i="8" s="1"/>
  <c r="O18" i="8" s="1"/>
  <c r="E46" i="7"/>
  <c r="M46" i="7"/>
  <c r="G26" i="8"/>
  <c r="G51" i="8" s="1"/>
  <c r="G50" i="8"/>
  <c r="G48" i="8"/>
  <c r="K26" i="8"/>
  <c r="L26" i="8"/>
  <c r="M50" i="8"/>
  <c r="M26" i="8"/>
  <c r="M51" i="8" s="1"/>
  <c r="M48" i="8"/>
  <c r="I26" i="8"/>
  <c r="H26" i="8"/>
  <c r="F26" i="8"/>
  <c r="C11" i="8"/>
  <c r="C18" i="8" s="1"/>
  <c r="C46" i="8"/>
  <c r="C24" i="8"/>
  <c r="K46" i="7"/>
  <c r="D46" i="7"/>
  <c r="L46" i="7"/>
  <c r="L50" i="7" s="1"/>
  <c r="H46" i="7"/>
  <c r="O33" i="7"/>
  <c r="I46" i="7"/>
  <c r="J46" i="7"/>
  <c r="D11" i="7"/>
  <c r="D18" i="7" s="1"/>
  <c r="D26" i="7" s="1"/>
  <c r="O10" i="7"/>
  <c r="H11" i="7"/>
  <c r="H18" i="7" s="1"/>
  <c r="H48" i="7" s="1"/>
  <c r="O9" i="7"/>
  <c r="J11" i="7"/>
  <c r="J18" i="7" s="1"/>
  <c r="J26" i="7" s="1"/>
  <c r="K11" i="7"/>
  <c r="K18" i="7" s="1"/>
  <c r="M11" i="7"/>
  <c r="M18" i="7" s="1"/>
  <c r="M26" i="7" s="1"/>
  <c r="I11" i="7"/>
  <c r="I18" i="7" s="1"/>
  <c r="I50" i="7" s="1"/>
  <c r="E11" i="7"/>
  <c r="E18" i="7" s="1"/>
  <c r="N11" i="7"/>
  <c r="N18" i="7" s="1"/>
  <c r="N50" i="7" s="1"/>
  <c r="F11" i="7"/>
  <c r="F18" i="7" s="1"/>
  <c r="F50" i="7" s="1"/>
  <c r="C11" i="7"/>
  <c r="C18" i="7" s="1"/>
  <c r="K26" i="7"/>
  <c r="L26" i="7"/>
  <c r="O24" i="7"/>
  <c r="C5" i="4" s="1"/>
  <c r="G26" i="7"/>
  <c r="G51" i="7" s="1"/>
  <c r="G48" i="7"/>
  <c r="G50" i="7"/>
  <c r="O41" i="7"/>
  <c r="O46" i="7" s="1"/>
  <c r="C10" i="4" s="1"/>
  <c r="O6" i="7"/>
  <c r="C46" i="7"/>
  <c r="C24" i="7"/>
  <c r="O8" i="2"/>
  <c r="O7" i="2"/>
  <c r="F9" i="3"/>
  <c r="H9" i="3"/>
  <c r="G9" i="3"/>
  <c r="I9" i="3"/>
  <c r="J50" i="10" l="1"/>
  <c r="O26" i="8"/>
  <c r="D4" i="4"/>
  <c r="D8" i="4" s="1"/>
  <c r="J48" i="8"/>
  <c r="I48" i="8"/>
  <c r="K50" i="8"/>
  <c r="J50" i="7"/>
  <c r="C44" i="9"/>
  <c r="O44" i="8"/>
  <c r="O46" i="8" s="1"/>
  <c r="D10" i="4" s="1"/>
  <c r="D12" i="4" s="1"/>
  <c r="D44" i="10"/>
  <c r="E44" i="9"/>
  <c r="E46" i="9" s="1"/>
  <c r="I50" i="10"/>
  <c r="H48" i="10"/>
  <c r="H51" i="10"/>
  <c r="K51" i="10"/>
  <c r="L51" i="10"/>
  <c r="L48" i="10"/>
  <c r="G51" i="10"/>
  <c r="G50" i="10"/>
  <c r="G48" i="10"/>
  <c r="I26" i="10"/>
  <c r="I51" i="10" s="1"/>
  <c r="K48" i="10"/>
  <c r="K50" i="10"/>
  <c r="I48" i="10"/>
  <c r="H50" i="10"/>
  <c r="D11" i="10"/>
  <c r="D18" i="10" s="1"/>
  <c r="O6" i="10"/>
  <c r="O11" i="10" s="1"/>
  <c r="O18" i="10" s="1"/>
  <c r="F4" i="4" s="1"/>
  <c r="K51" i="9"/>
  <c r="G50" i="9"/>
  <c r="G51" i="9"/>
  <c r="J50" i="9"/>
  <c r="K48" i="9"/>
  <c r="J26" i="9"/>
  <c r="J51" i="9" s="1"/>
  <c r="J48" i="9"/>
  <c r="K50" i="9"/>
  <c r="D48" i="9"/>
  <c r="D51" i="9"/>
  <c r="C26" i="9"/>
  <c r="L48" i="9"/>
  <c r="E26" i="9"/>
  <c r="E51" i="9" s="1"/>
  <c r="E48" i="9"/>
  <c r="E50" i="9"/>
  <c r="O11" i="9"/>
  <c r="O18" i="9" s="1"/>
  <c r="E4" i="4" s="1"/>
  <c r="E8" i="4" s="1"/>
  <c r="L51" i="9"/>
  <c r="M26" i="9"/>
  <c r="M51" i="9" s="1"/>
  <c r="M48" i="9"/>
  <c r="M50" i="9"/>
  <c r="H48" i="9"/>
  <c r="H50" i="9"/>
  <c r="H26" i="9"/>
  <c r="H51" i="9" s="1"/>
  <c r="N26" i="9"/>
  <c r="N51" i="9" s="1"/>
  <c r="N48" i="9"/>
  <c r="N50" i="9"/>
  <c r="F26" i="9"/>
  <c r="F51" i="9" s="1"/>
  <c r="F48" i="9"/>
  <c r="F50" i="9"/>
  <c r="I48" i="9"/>
  <c r="I50" i="9"/>
  <c r="I26" i="9"/>
  <c r="I51" i="9" s="1"/>
  <c r="D50" i="7"/>
  <c r="K50" i="7"/>
  <c r="F48" i="8"/>
  <c r="F51" i="8"/>
  <c r="K51" i="8"/>
  <c r="N50" i="8"/>
  <c r="I50" i="8"/>
  <c r="D50" i="8"/>
  <c r="K48" i="8"/>
  <c r="L48" i="8"/>
  <c r="L51" i="8"/>
  <c r="J51" i="8"/>
  <c r="H51" i="8"/>
  <c r="H48" i="8"/>
  <c r="I51" i="8"/>
  <c r="N48" i="8"/>
  <c r="D48" i="8"/>
  <c r="D26" i="8"/>
  <c r="D51" i="8" s="1"/>
  <c r="E48" i="8"/>
  <c r="J50" i="8"/>
  <c r="E26" i="8"/>
  <c r="E51" i="8" s="1"/>
  <c r="N26" i="8"/>
  <c r="N51" i="8" s="1"/>
  <c r="O50" i="8"/>
  <c r="D15" i="4" s="1"/>
  <c r="L48" i="7"/>
  <c r="E48" i="7"/>
  <c r="L51" i="7"/>
  <c r="M51" i="7"/>
  <c r="K51" i="7"/>
  <c r="O51" i="8"/>
  <c r="D16" i="4" s="1"/>
  <c r="O48" i="8"/>
  <c r="C50" i="8"/>
  <c r="C26" i="8"/>
  <c r="C51" i="8" s="1"/>
  <c r="C48" i="8"/>
  <c r="K48" i="7"/>
  <c r="D51" i="7"/>
  <c r="J48" i="7"/>
  <c r="J51" i="7"/>
  <c r="M48" i="7"/>
  <c r="D48" i="7"/>
  <c r="N26" i="7"/>
  <c r="N51" i="7" s="1"/>
  <c r="H26" i="7"/>
  <c r="H51" i="7" s="1"/>
  <c r="H50" i="7"/>
  <c r="M50" i="7"/>
  <c r="O11" i="7"/>
  <c r="O18" i="7" s="1"/>
  <c r="C26" i="7"/>
  <c r="C51" i="7" s="1"/>
  <c r="F48" i="7"/>
  <c r="F26" i="7"/>
  <c r="F51" i="7" s="1"/>
  <c r="N48" i="7"/>
  <c r="C48" i="7"/>
  <c r="E26" i="7"/>
  <c r="E51" i="7" s="1"/>
  <c r="E50" i="7"/>
  <c r="I26" i="7"/>
  <c r="I51" i="7" s="1"/>
  <c r="I48" i="7"/>
  <c r="C50" i="7"/>
  <c r="F8" i="4" l="1"/>
  <c r="F6" i="4"/>
  <c r="O26" i="7"/>
  <c r="C4" i="4"/>
  <c r="C8" i="4" s="1"/>
  <c r="E44" i="10"/>
  <c r="E46" i="10" s="1"/>
  <c r="D46" i="10"/>
  <c r="C44" i="10"/>
  <c r="O44" i="9"/>
  <c r="O46" i="9" s="1"/>
  <c r="E10" i="4" s="1"/>
  <c r="E12" i="4" s="1"/>
  <c r="C46" i="9"/>
  <c r="O26" i="10"/>
  <c r="D50" i="10"/>
  <c r="D48" i="10"/>
  <c r="D26" i="10"/>
  <c r="D51" i="10" s="1"/>
  <c r="O26" i="9"/>
  <c r="O50" i="9"/>
  <c r="E15" i="4" s="1"/>
  <c r="O50" i="7"/>
  <c r="C15" i="4" s="1"/>
  <c r="O51" i="7"/>
  <c r="C16" i="4" s="1"/>
  <c r="O48" i="7"/>
  <c r="C50" i="9" l="1"/>
  <c r="C48" i="9"/>
  <c r="C51" i="9"/>
  <c r="O44" i="10"/>
  <c r="O46" i="10" s="1"/>
  <c r="C46" i="10"/>
  <c r="E48" i="10"/>
  <c r="E50" i="10"/>
  <c r="E51" i="10"/>
  <c r="O51" i="10"/>
  <c r="F16" i="4" s="1"/>
  <c r="O48" i="10"/>
  <c r="O51" i="9"/>
  <c r="E16" i="4" s="1"/>
  <c r="O48" i="9"/>
  <c r="C50" i="10" l="1"/>
  <c r="C48" i="10"/>
  <c r="C51" i="10"/>
  <c r="F10" i="4"/>
  <c r="F12" i="4" s="1"/>
  <c r="O50" i="10"/>
  <c r="F15" i="4" s="1"/>
  <c r="C12" i="4"/>
  <c r="E6" i="4"/>
  <c r="D6" i="4"/>
  <c r="C6" i="4"/>
  <c r="N30" i="2"/>
  <c r="M30" i="2"/>
  <c r="L30" i="2"/>
  <c r="K30" i="2"/>
  <c r="J30" i="2"/>
  <c r="I30" i="2"/>
  <c r="H30" i="2"/>
  <c r="G30" i="2"/>
  <c r="F30" i="2"/>
  <c r="E30" i="2"/>
  <c r="D30" i="2"/>
  <c r="C30" i="2"/>
  <c r="M24" i="2"/>
  <c r="E24" i="2"/>
  <c r="O22" i="2"/>
  <c r="N24" i="2"/>
  <c r="J24" i="2"/>
  <c r="H24" i="2"/>
  <c r="G24" i="2"/>
  <c r="D24" i="2"/>
  <c r="F16" i="2"/>
  <c r="N16" i="2"/>
  <c r="M16" i="2"/>
  <c r="E16" i="2"/>
  <c r="J16" i="2"/>
  <c r="I16" i="2"/>
  <c r="N6" i="2"/>
  <c r="N11" i="2" s="1"/>
  <c r="M6" i="2"/>
  <c r="M11" i="2" s="1"/>
  <c r="L6" i="2"/>
  <c r="L11" i="2" s="1"/>
  <c r="K6" i="2"/>
  <c r="K11" i="2" s="1"/>
  <c r="J6" i="2"/>
  <c r="J11" i="2" s="1"/>
  <c r="I6" i="2"/>
  <c r="I11" i="2" s="1"/>
  <c r="H6" i="2"/>
  <c r="H11" i="2" s="1"/>
  <c r="G6" i="2"/>
  <c r="G11" i="2" s="1"/>
  <c r="F6" i="2"/>
  <c r="F11" i="2" s="1"/>
  <c r="D6" i="2"/>
  <c r="D11" i="2" s="1"/>
  <c r="C6" i="2"/>
  <c r="C11" i="2" s="1"/>
  <c r="C18" i="2" s="1"/>
  <c r="G46" i="2" l="1"/>
  <c r="H46" i="2"/>
  <c r="I46" i="2"/>
  <c r="O30" i="2"/>
  <c r="O33" i="2"/>
  <c r="O41" i="2"/>
  <c r="O9" i="2"/>
  <c r="F24" i="2"/>
  <c r="I18" i="2"/>
  <c r="C24" i="2"/>
  <c r="O32" i="2"/>
  <c r="O39" i="2"/>
  <c r="O42" i="2"/>
  <c r="J18" i="2"/>
  <c r="O31" i="2"/>
  <c r="O38" i="2"/>
  <c r="O44" i="2"/>
  <c r="J46" i="2"/>
  <c r="O10" i="2"/>
  <c r="O13" i="2"/>
  <c r="K16" i="2"/>
  <c r="K18" i="2" s="1"/>
  <c r="D16" i="2"/>
  <c r="L16" i="2"/>
  <c r="L18" i="2" s="1"/>
  <c r="H16" i="2"/>
  <c r="L24" i="2"/>
  <c r="C46" i="2"/>
  <c r="K46" i="2"/>
  <c r="O34" i="2"/>
  <c r="O36" i="2"/>
  <c r="O43" i="2"/>
  <c r="M18" i="2"/>
  <c r="M26" i="2" s="1"/>
  <c r="N18" i="2"/>
  <c r="N26" i="2" s="1"/>
  <c r="O37" i="2"/>
  <c r="D46" i="2"/>
  <c r="L46" i="2"/>
  <c r="O14" i="2"/>
  <c r="K24" i="2"/>
  <c r="O29" i="2"/>
  <c r="O35" i="2"/>
  <c r="E46" i="2"/>
  <c r="M46" i="2"/>
  <c r="O4" i="2"/>
  <c r="I24" i="2"/>
  <c r="F18" i="2"/>
  <c r="O21" i="2"/>
  <c r="F46" i="2"/>
  <c r="N46" i="2"/>
  <c r="E6" i="2"/>
  <c r="G16" i="2"/>
  <c r="G18" i="2" s="1"/>
  <c r="O20" i="2"/>
  <c r="O28" i="2"/>
  <c r="O15" i="2"/>
  <c r="O46" i="2" l="1"/>
  <c r="B10" i="4" s="1"/>
  <c r="C48" i="2"/>
  <c r="C50" i="2"/>
  <c r="E11" i="2"/>
  <c r="E18" i="2" s="1"/>
  <c r="D18" i="2"/>
  <c r="D48" i="2" s="1"/>
  <c r="H18" i="2"/>
  <c r="H26" i="2" s="1"/>
  <c r="H51" i="2" s="1"/>
  <c r="M51" i="2"/>
  <c r="F50" i="2"/>
  <c r="N51" i="2"/>
  <c r="O16" i="2"/>
  <c r="F48" i="2"/>
  <c r="F26" i="2"/>
  <c r="F51" i="2" s="1"/>
  <c r="H48" i="2"/>
  <c r="N50" i="2"/>
  <c r="N48" i="2"/>
  <c r="D26" i="2"/>
  <c r="D51" i="2" s="1"/>
  <c r="M50" i="2"/>
  <c r="M48" i="2"/>
  <c r="O24" i="2"/>
  <c r="B5" i="4" s="1"/>
  <c r="G26" i="2"/>
  <c r="G51" i="2" s="1"/>
  <c r="G48" i="2"/>
  <c r="G50" i="2"/>
  <c r="K50" i="2"/>
  <c r="K26" i="2"/>
  <c r="K51" i="2" s="1"/>
  <c r="K48" i="2"/>
  <c r="L50" i="2"/>
  <c r="L26" i="2"/>
  <c r="L51" i="2" s="1"/>
  <c r="L48" i="2"/>
  <c r="C26" i="2"/>
  <c r="C51" i="2" s="1"/>
  <c r="O6" i="2"/>
  <c r="O11" i="2" s="1"/>
  <c r="O18" i="2" s="1"/>
  <c r="J50" i="2"/>
  <c r="J26" i="2"/>
  <c r="J51" i="2" s="1"/>
  <c r="J48" i="2"/>
  <c r="I48" i="2"/>
  <c r="I50" i="2"/>
  <c r="I26" i="2"/>
  <c r="I51" i="2" s="1"/>
  <c r="D50" i="2" l="1"/>
  <c r="H50" i="2"/>
  <c r="E50" i="2"/>
  <c r="E26" i="2"/>
  <c r="E51" i="2" s="1"/>
  <c r="E48" i="2"/>
  <c r="B4" i="4"/>
  <c r="B8" i="4" l="1"/>
  <c r="B12" i="4" s="1"/>
  <c r="B6" i="4"/>
  <c r="O50" i="2"/>
  <c r="B15" i="4" s="1"/>
  <c r="O26" i="2"/>
  <c r="O51" i="2" s="1"/>
  <c r="B16" i="4" s="1"/>
  <c r="O48" i="2" l="1"/>
  <c r="B9" i="1" l="1"/>
  <c r="B7" i="1"/>
  <c r="B5" i="1" l="1"/>
  <c r="B8" i="1" l="1"/>
  <c r="B6" i="1"/>
  <c r="B10" i="1"/>
  <c r="B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tc={37074A62-17E8-495D-970C-ABC68ADF145E}</author>
  </authors>
  <commentList>
    <comment ref="E44" authorId="0" shapeId="0" xr:uid="{37074A62-17E8-495D-970C-ABC68ADF145E}">
      <text>
        <t>[Threaded comment]
Your version of Excel allows you to read this threaded comment; however, any edits to it will get removed if the file is opened in a newer version of Excel. Learn more: https://go.microsoft.com/fwlink/?linkid=870924
Comment:
    Small Lotteries Licence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tc={7B98C83D-28FD-4B0D-B28C-CBA545EBE506}</author>
  </authors>
  <commentList>
    <comment ref="E44" authorId="0" shapeId="0" xr:uid="{7B98C83D-28FD-4B0D-B28C-CBA545EBE506}">
      <text>
        <t>[Threaded comment]
Your version of Excel allows you to read this threaded comment; however, any edits to it will get removed if the file is opened in a newer version of Excel. Learn more: https://go.microsoft.com/fwlink/?linkid=870924
Comment:
    Small Lotteries Licence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tc={E8C58752-83FA-462B-8BB1-2A81758EED94}</author>
  </authors>
  <commentList>
    <comment ref="E44" authorId="0" shapeId="0" xr:uid="{E8C58752-83FA-462B-8BB1-2A81758EED94}">
      <text>
        <t>[Threaded comment]
Your version of Excel allows you to read this threaded comment; however, any edits to it will get removed if the file is opened in a newer version of Excel. Learn more: https://go.microsoft.com/fwlink/?linkid=870924
Comment:
    small lotteries licence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tc={E1D6A50D-6142-4DDC-9BF8-8734486202BD}</author>
  </authors>
  <commentList>
    <comment ref="E44" authorId="0" shapeId="0" xr:uid="{E1D6A50D-6142-4DDC-9BF8-8734486202BD}">
      <text>
        <t>[Threaded comment]
Your version of Excel allows you to read this threaded comment; however, any edits to it will get removed if the file is opened in a newer version of Excel. Learn more: https://go.microsoft.com/fwlink/?linkid=870924
Comment:
    Small Lotteries Licence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tc={6625F1C0-99E4-4878-9E99-8B1DC04E3B38}</author>
  </authors>
  <commentList>
    <comment ref="E44" authorId="0" shapeId="0" xr:uid="{6625F1C0-99E4-4878-9E99-8B1DC04E3B38}">
      <text>
        <t>[Threaded comment]
Your version of Excel allows you to read this threaded comment; however, any edits to it will get removed if the file is opened in a newer version of Excel. Learn more: https://go.microsoft.com/fwlink/?linkid=870924
Comment:
    Small Lotteries Licence</t>
      </text>
    </comment>
  </commentList>
</comments>
</file>

<file path=xl/sharedStrings.xml><?xml version="1.0" encoding="utf-8"?>
<sst xmlns="http://schemas.openxmlformats.org/spreadsheetml/2006/main" count="376" uniqueCount="117">
  <si>
    <t>Bathgate West Nursery, Millburn Road, E48 2AF</t>
  </si>
  <si>
    <t>7,000 sqft approx (Guess)</t>
  </si>
  <si>
    <t>Without exemptions</t>
  </si>
  <si>
    <t>With Exemptions</t>
  </si>
  <si>
    <t>Estimate on rateable value (£20,200)</t>
  </si>
  <si>
    <t>unlikely we'd have to pay this as WLC don't currently pay for it as a Nursery</t>
  </si>
  <si>
    <t>Water - annual fee (approx £0.29 per day)</t>
  </si>
  <si>
    <t>Expectation of Charitable exemption</t>
  </si>
  <si>
    <t>Water - usage (approx)</t>
  </si>
  <si>
    <t>Waste Water - annual fee (approx £0.21 per day)</t>
  </si>
  <si>
    <t>Waste Water - usage (approx)</t>
  </si>
  <si>
    <t>Drainage Charges (approx £2.30 per day)</t>
  </si>
  <si>
    <t>Electricity</t>
  </si>
  <si>
    <t>Building repair &amp; maintenance</t>
  </si>
  <si>
    <t>Landscape and Ground Maintenance</t>
  </si>
  <si>
    <t>Grass cutting, as well as winter care ie gritting</t>
  </si>
  <si>
    <t>Refuse Collection</t>
  </si>
  <si>
    <t>estimate</t>
  </si>
  <si>
    <t>Security alarm and fire contracts</t>
  </si>
  <si>
    <t>Buildings insurance estimate</t>
  </si>
  <si>
    <t>Software (ie accountancy for invoicing)</t>
  </si>
  <si>
    <t>Annual costs</t>
  </si>
  <si>
    <t>Based on 48 weeks</t>
  </si>
  <si>
    <t>Space Name</t>
  </si>
  <si>
    <t>Capacity</t>
  </si>
  <si>
    <t>Hourly Rate
(£)</t>
  </si>
  <si>
    <t>Estimated Average Hrs/Week
(year 1)</t>
  </si>
  <si>
    <t>Year 1</t>
  </si>
  <si>
    <t>Year 2
(5% growth)</t>
  </si>
  <si>
    <t>Rehearsal Space 1</t>
  </si>
  <si>
    <t>Rehearsal Space 2</t>
  </si>
  <si>
    <t>Tutor Space 1</t>
  </si>
  <si>
    <t>Tutor Space 2</t>
  </si>
  <si>
    <t>Storage</t>
  </si>
  <si>
    <r>
      <t>20m</t>
    </r>
    <r>
      <rPr>
        <i/>
        <sz val="14"/>
        <color theme="1"/>
        <rFont val="Calibri"/>
        <family val="2"/>
        <scheme val="minor"/>
      </rPr>
      <t>2</t>
    </r>
  </si>
  <si>
    <t>Grants &amp; Donations</t>
  </si>
  <si>
    <t>£</t>
  </si>
  <si>
    <t>Fundraising/Donations</t>
  </si>
  <si>
    <t>One-off public, collections</t>
  </si>
  <si>
    <t>Big funders</t>
  </si>
  <si>
    <t>Total Big Funders</t>
  </si>
  <si>
    <t>Small grants</t>
  </si>
  <si>
    <t>Robertson Trust</t>
  </si>
  <si>
    <t>Postcode Lottery</t>
  </si>
  <si>
    <t>Total Small Grants</t>
  </si>
  <si>
    <t>In kind (computers, software, phone, internet, furniture…)</t>
  </si>
  <si>
    <t>MS 365 licence</t>
  </si>
  <si>
    <t>Need advice on monetising this (or even if it should be included)</t>
  </si>
  <si>
    <t>Total Grants &amp; Donations</t>
  </si>
  <si>
    <t>Summary</t>
  </si>
  <si>
    <t>Year 2</t>
  </si>
  <si>
    <t>Year 3</t>
  </si>
  <si>
    <t>Year 4</t>
  </si>
  <si>
    <t xml:space="preserve">Year 5 </t>
  </si>
  <si>
    <t>Income from rental of space</t>
  </si>
  <si>
    <t>Fundraising &amp; Grants</t>
  </si>
  <si>
    <t>Trading %</t>
  </si>
  <si>
    <t>Total income</t>
  </si>
  <si>
    <t>Total expenditure</t>
  </si>
  <si>
    <t>Profit or (loss)</t>
  </si>
  <si>
    <t>Operating Cash Flow</t>
  </si>
  <si>
    <t>Without grants</t>
  </si>
  <si>
    <t>With grants</t>
  </si>
  <si>
    <t>CASH FLOW Year 1 Jan to Dec 2026</t>
  </si>
  <si>
    <t>Revenue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</si>
  <si>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</si>
  <si>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</si>
  <si>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</si>
  <si>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</si>
  <si>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</si>
  <si>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</si>
  <si>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</si>
  <si>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</si>
  <si>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</si>
  <si>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</si>
  <si>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</si>
  <si>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</si>
  <si>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</si>
  <si>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Income from trading</t>
  </si>
  <si>
    <r>
      <t>Main Bandhall -Rehearsal Space 1</t>
    </r>
    <r>
      <rPr>
        <i/>
        <sz val="12"/>
        <color theme="0" tint="-0.34998626667073579"/>
        <rFont val="Calibri"/>
        <family val="2"/>
        <scheme val="minor"/>
      </rPr>
      <t xml:space="preserve"> (income weekly)</t>
    </r>
  </si>
  <si>
    <t>No of weeks per month</t>
  </si>
  <si>
    <t>Rehearsal Space 1 Monthly</t>
  </si>
  <si>
    <t>Rehearsal Space 2 Monthly</t>
  </si>
  <si>
    <t>Tutor Space 1 Monthly</t>
  </si>
  <si>
    <t>Tutor Space 2 Monthly</t>
  </si>
  <si>
    <t>Storage Monthly</t>
  </si>
  <si>
    <t>Total spaces rental income</t>
  </si>
  <si>
    <t>??</t>
  </si>
  <si>
    <t>Other income</t>
  </si>
  <si>
    <t>TOTAL TRADING INCOME</t>
  </si>
  <si>
    <t>Total grants and donations</t>
  </si>
  <si>
    <t>TOTAL REVENUE FROM ALL SOURCES</t>
  </si>
  <si>
    <t>Expenditure</t>
  </si>
  <si>
    <t>Advertising</t>
  </si>
  <si>
    <t>Cleaning materials (incl sanitary)</t>
  </si>
  <si>
    <t>Computer equipment</t>
  </si>
  <si>
    <t>Employee wages</t>
  </si>
  <si>
    <t>Fundraising</t>
  </si>
  <si>
    <t>Heat, light, water</t>
  </si>
  <si>
    <t xml:space="preserve">Insurance </t>
  </si>
  <si>
    <t>Misc</t>
  </si>
  <si>
    <t>Phone and internet</t>
  </si>
  <si>
    <t>Professional and accountancy fees</t>
  </si>
  <si>
    <t>Repairs &amp; Maintenance</t>
  </si>
  <si>
    <t>Staff and volunteer admin</t>
  </si>
  <si>
    <t>Stationery, postage &amp; Printing</t>
  </si>
  <si>
    <t xml:space="preserve">Subscriptions and Licences </t>
  </si>
  <si>
    <t>TOTAL EXPENDITURE</t>
  </si>
  <si>
    <t>Operating Profit</t>
  </si>
  <si>
    <t>TOTAL PROFIT OR (LOSS)</t>
  </si>
  <si>
    <t>without grants</t>
  </si>
  <si>
    <t>with grants</t>
  </si>
  <si>
    <t>CASH FLOW Year 2 Jan to Dec 2027</t>
  </si>
  <si>
    <r>
      <t xml:space="preserve">Main Bandhall -Rehearsal Space 1 </t>
    </r>
    <r>
      <rPr>
        <i/>
        <sz val="12"/>
        <color theme="4" tint="-0.499984740745262"/>
        <rFont val="Calibri"/>
        <family val="2"/>
        <scheme val="minor"/>
      </rPr>
      <t>(income weekly)</t>
    </r>
  </si>
  <si>
    <t>CASH FLOW Year 3 Jan to Dec 2028</t>
  </si>
  <si>
    <t>CASH FLOW Year 4 Jan to Dec 2029</t>
  </si>
  <si>
    <t>CASH FLOW Year 5 Jan to Dec 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</si>
</sst>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&quot;£&quot;#,##0.00"/>
    <numFmt numFmtId="167" formatCode="&quot;£&quot;#,##0"/>
    <numFmt numFmtId="168" formatCode="#,##0_ ;\-#,##0\ "/>
  </numFmts>
  <fonts count="25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sz val="12"/>
      <color theme="1"/>
      <name val="Calibri (Body)"/>
    </font>
    <font>
      <b/>
      <sz val="12"/>
      <color theme="1"/>
      <name val="Calibri (Body)"/>
    </font>
    <font>
      <i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2"/>
      <color theme="4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i/>
      <sz val="12"/>
      <color theme="0" tint="-0.3499862666707357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F6F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3" fillId="0" borderId="0" xfId="0" applyFont="1"/>
    <xf numFmtId="44" fontId="2" fillId="0" borderId="0" xfId="0" applyNumberFormat="1" applyFont="1"/>
    <xf numFmtId="44" fontId="0" fillId="0" borderId="0" xfId="0" applyNumberForma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1" fillId="0" borderId="0" xfId="0" applyNumberFormat="1" applyFont="1"/>
    <xf numFmtId="44" fontId="3" fillId="0" borderId="0" xfId="0" applyNumberFormat="1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44" fontId="1" fillId="0" borderId="1" xfId="0" applyNumberFormat="1" applyFont="1" applyBorder="1" applyAlignment="1">
      <alignment vertical="center"/>
    </xf>
    <xf numFmtId="4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9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43" fontId="0" fillId="0" borderId="0" xfId="1" applyFont="1"/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167" fontId="11" fillId="0" borderId="0" xfId="0" applyNumberFormat="1" applyFont="1" applyAlignment="1">
      <alignment horizontal="right" vertical="center" wrapText="1"/>
    </xf>
    <xf numFmtId="0" fontId="11" fillId="0" borderId="0" xfId="0" applyFont="1"/>
    <xf numFmtId="167" fontId="11" fillId="0" borderId="0" xfId="0" applyNumberFormat="1" applyFont="1"/>
    <xf numFmtId="167" fontId="11" fillId="0" borderId="1" xfId="0" applyNumberFormat="1" applyFont="1" applyBorder="1"/>
    <xf numFmtId="0" fontId="5" fillId="0" borderId="0" xfId="0" applyFont="1" applyAlignment="1">
      <alignment vertical="center"/>
    </xf>
    <xf numFmtId="0" fontId="2" fillId="4" borderId="1" xfId="0" applyFont="1" applyFill="1" applyBorder="1" applyAlignment="1">
      <alignment vertical="center"/>
    </xf>
    <xf numFmtId="165" fontId="7" fillId="4" borderId="1" xfId="1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0" fillId="0" borderId="0" xfId="1" applyNumberFormat="1" applyFont="1" applyAlignment="1">
      <alignment vertical="center"/>
    </xf>
    <xf numFmtId="165" fontId="7" fillId="0" borderId="0" xfId="1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5" fillId="2" borderId="3" xfId="0" applyFont="1" applyFill="1" applyBorder="1" applyAlignment="1">
      <alignment vertical="center"/>
    </xf>
    <xf numFmtId="165" fontId="0" fillId="2" borderId="3" xfId="1" applyNumberFormat="1" applyFont="1" applyFill="1" applyBorder="1" applyAlignment="1">
      <alignment vertical="center"/>
    </xf>
    <xf numFmtId="165" fontId="7" fillId="2" borderId="3" xfId="1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wrapText="1"/>
    </xf>
    <xf numFmtId="165" fontId="0" fillId="0" borderId="0" xfId="1" applyNumberFormat="1" applyFont="1" applyAlignment="1">
      <alignment horizontal="right" vertical="center"/>
    </xf>
    <xf numFmtId="165" fontId="0" fillId="0" borderId="0" xfId="1" applyNumberFormat="1" applyFont="1" applyFill="1" applyAlignment="1">
      <alignment vertical="center"/>
    </xf>
    <xf numFmtId="0" fontId="2" fillId="3" borderId="3" xfId="0" applyFont="1" applyFill="1" applyBorder="1" applyAlignment="1">
      <alignment vertical="center"/>
    </xf>
    <xf numFmtId="165" fontId="7" fillId="3" borderId="3" xfId="1" applyNumberFormat="1" applyFont="1" applyFill="1" applyBorder="1" applyAlignment="1">
      <alignment vertical="center"/>
    </xf>
    <xf numFmtId="165" fontId="0" fillId="0" borderId="0" xfId="0" applyNumberFormat="1" applyAlignment="1">
      <alignment vertical="center"/>
    </xf>
    <xf numFmtId="165" fontId="7" fillId="0" borderId="0" xfId="0" applyNumberFormat="1" applyFont="1" applyAlignment="1">
      <alignment vertical="center"/>
    </xf>
    <xf numFmtId="0" fontId="2" fillId="5" borderId="1" xfId="0" applyFont="1" applyFill="1" applyBorder="1" applyAlignment="1">
      <alignment vertical="center"/>
    </xf>
    <xf numFmtId="165" fontId="7" fillId="5" borderId="1" xfId="1" applyNumberFormat="1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7" fillId="0" borderId="3" xfId="1" applyNumberFormat="1" applyFont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165" fontId="0" fillId="3" borderId="0" xfId="1" applyNumberFormat="1" applyFont="1" applyFill="1" applyAlignment="1">
      <alignment vertical="center"/>
    </xf>
    <xf numFmtId="165" fontId="7" fillId="3" borderId="4" xfId="1" applyNumberFormat="1" applyFont="1" applyFill="1" applyBorder="1" applyAlignment="1">
      <alignment vertical="center"/>
    </xf>
    <xf numFmtId="17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165" fontId="8" fillId="2" borderId="3" xfId="1" applyNumberFormat="1" applyFont="1" applyFill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16" fillId="0" borderId="0" xfId="0" applyFont="1"/>
    <xf numFmtId="168" fontId="8" fillId="0" borderId="0" xfId="0" applyNumberFormat="1" applyFont="1" applyAlignment="1">
      <alignment horizontal="right" vertical="center"/>
    </xf>
    <xf numFmtId="0" fontId="17" fillId="0" borderId="0" xfId="0" applyFont="1" applyAlignment="1">
      <alignment vertical="center"/>
    </xf>
    <xf numFmtId="168" fontId="2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168" fontId="8" fillId="0" borderId="2" xfId="0" applyNumberFormat="1" applyFont="1" applyBorder="1" applyAlignment="1">
      <alignment horizontal="center" vertical="center"/>
    </xf>
    <xf numFmtId="168" fontId="7" fillId="0" borderId="5" xfId="0" applyNumberFormat="1" applyFont="1" applyBorder="1" applyAlignment="1">
      <alignment horizontal="right" vertical="center"/>
    </xf>
    <xf numFmtId="42" fontId="7" fillId="0" borderId="1" xfId="0" applyNumberFormat="1" applyFont="1" applyBorder="1" applyAlignment="1">
      <alignment horizontal="right" vertical="center"/>
    </xf>
    <xf numFmtId="0" fontId="3" fillId="7" borderId="0" xfId="0" applyFont="1" applyFill="1" applyAlignment="1">
      <alignment vertical="center"/>
    </xf>
    <xf numFmtId="165" fontId="0" fillId="7" borderId="0" xfId="1" applyNumberFormat="1" applyFont="1" applyFill="1" applyAlignment="1">
      <alignment vertical="center"/>
    </xf>
    <xf numFmtId="165" fontId="7" fillId="7" borderId="4" xfId="1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/>
    <xf numFmtId="165" fontId="21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167" fontId="3" fillId="2" borderId="0" xfId="0" applyNumberFormat="1" applyFont="1" applyFill="1" applyAlignment="1">
      <alignment vertical="center"/>
    </xf>
    <xf numFmtId="167" fontId="3" fillId="3" borderId="0" xfId="0" applyNumberFormat="1" applyFont="1" applyFill="1" applyAlignment="1">
      <alignment vertical="center"/>
    </xf>
    <xf numFmtId="9" fontId="3" fillId="0" borderId="0" xfId="2" applyFont="1" applyFill="1" applyAlignment="1">
      <alignment vertical="center"/>
    </xf>
    <xf numFmtId="167" fontId="3" fillId="0" borderId="0" xfId="0" applyNumberFormat="1" applyFont="1" applyAlignment="1">
      <alignment vertical="center"/>
    </xf>
    <xf numFmtId="167" fontId="3" fillId="4" borderId="1" xfId="0" applyNumberFormat="1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167" fontId="3" fillId="6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7" fontId="3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8" borderId="0" xfId="0" applyFont="1" applyFill="1" applyAlignment="1">
      <alignment vertical="center"/>
    </xf>
    <xf numFmtId="165" fontId="3" fillId="8" borderId="0" xfId="0" applyNumberFormat="1" applyFont="1" applyFill="1" applyAlignment="1">
      <alignment vertical="center"/>
    </xf>
    <xf numFmtId="165" fontId="3" fillId="3" borderId="0" xfId="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18</xdr:col>
      <xdr:colOff>304800</xdr:colOff>
      <xdr:row>47</xdr:row>
      <xdr:rowOff>14242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94A977-631F-4C81-A53E-C269E68F3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647700"/>
          <a:ext cx="10058400" cy="69770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mondbank_Sparks%20info/APPENDIX_4_Spark_Cashflow_for_C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Building Map"/>
      <sheetName val="Noisy Side Sample Schedule"/>
      <sheetName val="Quiet Side Sample Schedule"/>
      <sheetName val="Other income"/>
      <sheetName val="Funding"/>
      <sheetName val="Staffing"/>
      <sheetName val="Expenses"/>
      <sheetName val="Cash flow Y1 Jun 25 - May 26"/>
      <sheetName val="Cash flow Y2 Jun 26 - May 27"/>
      <sheetName val="Cash flow Y3 Jun 27 - May 28"/>
      <sheetName val="Cash flow Y4 Jun 28 - May 29"/>
      <sheetName val="Cash flow Y5 Jun 29 - May 30"/>
      <sheetName val="Notes &amp; Assumption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>
        <row r="23">
          <cell r="P23">
            <v>0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Lindsay Green" id="{86C98396-105F-451B-9084-3930C7BB89FE}" userId="Lindsay Green" providerId="None"/>
  <person displayName="Lindsay Green" id="{79789C6D-239B-466A-8ABC-487AEF03CD14}" userId="S::lindsay.green@bathgateband.org.uk::f49aa64c-831b-41b8-bc58-7d953c5a589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44" dT="2025-06-26T16:30:42.44" personId="{86C98396-105F-451B-9084-3930C7BB89FE}" id="{37074A62-17E8-495D-970C-ABC68ADF145E}">
    <text>Small Lotteries Licence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44" dT="2025-06-26T16:30:42.44" personId="{86C98396-105F-451B-9084-3930C7BB89FE}" id="{7B98C83D-28FD-4B0D-B28C-CBA545EBE506}">
    <text>Small Lotteries Licence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E44" dT="2025-06-26T18:18:03.82" personId="{79789C6D-239B-466A-8ABC-487AEF03CD14}" id="{E8C58752-83FA-462B-8BB1-2A81758EED94}">
    <text>small lotteries licence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E44" dT="2025-06-26T16:30:42.44" personId="{86C98396-105F-451B-9084-3930C7BB89FE}" id="{E1D6A50D-6142-4DDC-9BF8-8734486202BD}">
    <text>Small Lotteries Licence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E44" dT="2025-06-26T16:30:42.44" personId="{86C98396-105F-451B-9084-3930C7BB89FE}" id="{6625F1C0-99E4-4878-9E99-8B1DC04E3B38}">
    <text>Small Lotteries Licence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5.xml"/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4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44361-9D33-4C57-9AA7-5C41987AD02D}">
  <sheetPr>
    <tabColor theme="4" tint="0.59999389629810485"/>
  </sheetPr>
  <dimension ref="A1"/>
  <sheetViews>
    <sheetView workbookViewId="0">
      <selection activeCell="X24" sqref="X24"/>
    </sheetView>
  </sheetViews>
  <sheetFormatPr defaultRowHeight="12.7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97DBB-4DAC-4EA3-8392-3CDE050D9FCA}">
  <sheetPr>
    <tabColor theme="9" tint="0.39997558519241921"/>
  </sheetPr>
  <dimension ref="A1:Q82"/>
  <sheetViews>
    <sheetView zoomScale="90" zoomScaleNormal="90" workbookViewId="0">
      <pane ySplit="2" topLeftCell="A3" activePane="bottomLeft" state="frozen"/>
      <selection pane="bottomLeft" activeCell="P48" sqref="P48"/>
    </sheetView>
  </sheetViews>
  <sheetFormatPr defaultColWidth="8.85546875" defaultRowHeight="12.75"/>
  <cols>
    <col min="1" max="1" width="21.42578125" style="10" customWidth="1"/>
    <col min="2" max="2" width="48.42578125" style="10" customWidth="1"/>
    <col min="3" max="3" width="12.42578125" style="10" customWidth="1"/>
    <col min="4" max="4" width="11.140625" style="10" bestFit="1" customWidth="1"/>
    <col min="5" max="5" width="11" style="10" customWidth="1"/>
    <col min="6" max="14" width="11.140625" style="10" bestFit="1" customWidth="1"/>
    <col min="15" max="15" width="12.7109375" style="10" bestFit="1" customWidth="1"/>
    <col min="16" max="16" width="10.140625" bestFit="1" customWidth="1"/>
    <col min="17" max="17" width="11.140625" bestFit="1" customWidth="1"/>
  </cols>
  <sheetData>
    <row r="1" spans="1:17" s="80" customFormat="1" ht="42.75" customHeight="1">
      <c r="A1" s="78" t="s">
        <v>116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7" ht="15.75">
      <c r="A2" s="9" t="s">
        <v>64</v>
      </c>
      <c r="C2" s="61" t="s">
        <v>65</v>
      </c>
      <c r="D2" s="61" t="s">
        <v>66</v>
      </c>
      <c r="E2" s="61" t="s">
        <v>67</v>
      </c>
      <c r="F2" s="61" t="s">
        <v>68</v>
      </c>
      <c r="G2" s="61" t="s">
        <v>69</v>
      </c>
      <c r="H2" s="61" t="s">
        <v>70</v>
      </c>
      <c r="I2" s="61" t="s">
        <v>71</v>
      </c>
      <c r="J2" s="61" t="s">
        <v>72</v>
      </c>
      <c r="K2" s="61" t="s">
        <v>73</v>
      </c>
      <c r="L2" s="61" t="s">
        <v>74</v>
      </c>
      <c r="M2" s="61" t="s">
        <v>75</v>
      </c>
      <c r="N2" s="61" t="s">
        <v>76</v>
      </c>
      <c r="O2" s="62" t="s">
        <v>77</v>
      </c>
    </row>
    <row r="3" spans="1:17" ht="15">
      <c r="O3" s="36"/>
    </row>
    <row r="4" spans="1:17" ht="15.75">
      <c r="A4" s="36" t="s">
        <v>78</v>
      </c>
      <c r="B4" s="83" t="s">
        <v>79</v>
      </c>
      <c r="C4" s="81">
        <f>(((income!$C$3*income!$D$3*1.05)*1.05)*1.05)*1.05</f>
        <v>291.72150000000005</v>
      </c>
      <c r="D4" s="81">
        <f>(((income!$C$3*income!$D$3*1.05)*1.05)*1.05)*1.05</f>
        <v>291.72150000000005</v>
      </c>
      <c r="E4" s="81">
        <f>(((income!$C$3*income!$D$3*1.05)*1.05)*1.05)*1.05</f>
        <v>291.72150000000005</v>
      </c>
      <c r="F4" s="81">
        <f>(((income!$C$3*income!$D$3*1.05)*1.05)*1.05)*1.05</f>
        <v>291.72150000000005</v>
      </c>
      <c r="G4" s="81">
        <f>(((income!$C$3*income!$D$3*1.05)*1.05)*1.05)*1.05</f>
        <v>291.72150000000005</v>
      </c>
      <c r="H4" s="81">
        <f>(((income!$C$3*income!$D$3*1.05)*1.05)*1.05)*1.05</f>
        <v>291.72150000000005</v>
      </c>
      <c r="I4" s="81">
        <f>(((income!$C$3*income!$D$3*1.05)*1.05)*1.05)*1.05</f>
        <v>291.72150000000005</v>
      </c>
      <c r="J4" s="81">
        <f>(((income!$C$3*income!$D$3*1.05)*1.05)*1.05)*1.05</f>
        <v>291.72150000000005</v>
      </c>
      <c r="K4" s="81">
        <f>(((income!$C$3*income!$D$3*1.05)*1.05)*1.05)*1.05</f>
        <v>291.72150000000005</v>
      </c>
      <c r="L4" s="81">
        <f>(((income!$C$3*income!$D$3*1.05)*1.05)*1.05)*1.05</f>
        <v>291.72150000000005</v>
      </c>
      <c r="M4" s="81">
        <f>(((income!$C$3*income!$D$3*1.05)*1.05)*1.05)*1.05</f>
        <v>291.72150000000005</v>
      </c>
      <c r="N4" s="81">
        <f>(((income!$C$3*income!$D$3*1.05)*1.05)*1.05)*1.05</f>
        <v>291.72150000000005</v>
      </c>
      <c r="O4" s="82">
        <f>SUM(C4:N4)</f>
        <v>3500.6580000000008</v>
      </c>
      <c r="P4" s="18"/>
    </row>
    <row r="5" spans="1:17" ht="15">
      <c r="A5" s="36"/>
      <c r="B5" s="40" t="s">
        <v>80</v>
      </c>
      <c r="C5" s="38">
        <v>4</v>
      </c>
      <c r="D5" s="38">
        <v>4</v>
      </c>
      <c r="E5" s="38">
        <v>4</v>
      </c>
      <c r="F5" s="38">
        <v>5</v>
      </c>
      <c r="G5" s="38">
        <v>4</v>
      </c>
      <c r="H5" s="38">
        <v>4</v>
      </c>
      <c r="I5" s="38">
        <v>3</v>
      </c>
      <c r="J5" s="38">
        <v>4</v>
      </c>
      <c r="K5" s="38">
        <v>4</v>
      </c>
      <c r="L5" s="38">
        <v>5</v>
      </c>
      <c r="M5" s="38">
        <v>4</v>
      </c>
      <c r="N5" s="38">
        <v>3</v>
      </c>
      <c r="O5" s="39"/>
      <c r="Q5" s="20"/>
    </row>
    <row r="6" spans="1:17" ht="15.75">
      <c r="A6" s="36"/>
      <c r="B6" s="37" t="s">
        <v>81</v>
      </c>
      <c r="C6" s="63">
        <f>C4*C5</f>
        <v>1166.8860000000002</v>
      </c>
      <c r="D6" s="63">
        <f t="shared" ref="D6:N6" si="0">D4*D5</f>
        <v>1166.8860000000002</v>
      </c>
      <c r="E6" s="63">
        <f t="shared" si="0"/>
        <v>1166.8860000000002</v>
      </c>
      <c r="F6" s="63">
        <f t="shared" si="0"/>
        <v>1458.6075000000003</v>
      </c>
      <c r="G6" s="63">
        <f t="shared" si="0"/>
        <v>1166.8860000000002</v>
      </c>
      <c r="H6" s="63">
        <f t="shared" si="0"/>
        <v>1166.8860000000002</v>
      </c>
      <c r="I6" s="63">
        <f t="shared" si="0"/>
        <v>875.16450000000009</v>
      </c>
      <c r="J6" s="63">
        <f t="shared" si="0"/>
        <v>1166.8860000000002</v>
      </c>
      <c r="K6" s="63">
        <f t="shared" si="0"/>
        <v>1166.8860000000002</v>
      </c>
      <c r="L6" s="63">
        <f t="shared" si="0"/>
        <v>1458.6075000000003</v>
      </c>
      <c r="M6" s="63">
        <f t="shared" si="0"/>
        <v>1166.8860000000002</v>
      </c>
      <c r="N6" s="63">
        <f t="shared" si="0"/>
        <v>875.16450000000009</v>
      </c>
      <c r="O6" s="39">
        <f>SUM(C6:N6)</f>
        <v>14002.632000000003</v>
      </c>
      <c r="Q6" s="20"/>
    </row>
    <row r="7" spans="1:17" ht="15.75">
      <c r="A7" s="36"/>
      <c r="B7" s="37" t="s">
        <v>82</v>
      </c>
      <c r="C7" s="63">
        <f>(((((income!$C$4*income!$D$4)*C5)*1.05)*1.05)*1.05)*1.05</f>
        <v>2625.4935000000005</v>
      </c>
      <c r="D7" s="63">
        <f>(((((income!$C$4*income!$D$4)*D5)*1.05)*1.05)*1.05)*1.05</f>
        <v>2625.4935000000005</v>
      </c>
      <c r="E7" s="63">
        <f>(((((income!$C$4*income!$D$4)*E5)*1.05)*1.05)*1.05)*1.05</f>
        <v>2625.4935000000005</v>
      </c>
      <c r="F7" s="63">
        <f>(((((income!$C$4*income!$D$4)*F5)*1.05)*1.05)*1.05)*1.05</f>
        <v>3281.8668750000002</v>
      </c>
      <c r="G7" s="63">
        <f>(((((income!$C$4*income!$D$4)*G5)*1.05)*1.05)*1.05)*1.05</f>
        <v>2625.4935000000005</v>
      </c>
      <c r="H7" s="63">
        <f>(((((income!$C$4*income!$D$4)*H5)*1.05)*1.05)*1.05)*1.05</f>
        <v>2625.4935000000005</v>
      </c>
      <c r="I7" s="63">
        <f>(((((income!$C$4*income!$D$4)*I5)*1.05)*1.05)*1.05)*1.05</f>
        <v>1969.1201250000004</v>
      </c>
      <c r="J7" s="63">
        <f>(((((income!$C$4*income!$D$4)*J5)*1.05)*1.05)*1.05)*1.05</f>
        <v>2625.4935000000005</v>
      </c>
      <c r="K7" s="63">
        <f>(((((income!$C$4*income!$D$4)*K5)*1.05)*1.05)*1.05)*1.05</f>
        <v>2625.4935000000005</v>
      </c>
      <c r="L7" s="63">
        <f>(((((income!$C$4*income!$D$4)*L5)*1.05)*1.05)*1.05)*1.05</f>
        <v>3281.8668750000002</v>
      </c>
      <c r="M7" s="63">
        <f>(((((income!$C$4*income!$D$4)*M5)*1.05)*1.05)*1.05)*1.05</f>
        <v>2625.4935000000005</v>
      </c>
      <c r="N7" s="63">
        <f>(((((income!$C$4*income!$D$4)*N5)*1.05)*1.05)*1.05)*1.05</f>
        <v>1969.1201250000004</v>
      </c>
      <c r="O7" s="39">
        <f t="shared" ref="O7:O8" si="1">SUM(C7:N7)</f>
        <v>31505.922000000006</v>
      </c>
      <c r="Q7" s="20"/>
    </row>
    <row r="8" spans="1:17" ht="15.75">
      <c r="A8" s="36"/>
      <c r="B8" s="37" t="s">
        <v>83</v>
      </c>
      <c r="C8" s="63">
        <f>(((((income!$C$5*income!$D$5)*C5)*1.05)*1.05)*1.05)*1.05</f>
        <v>777.92400000000009</v>
      </c>
      <c r="D8" s="63">
        <f>(((((income!$C$5*income!$D$5)*D5)*1.05)*1.05)*1.05)*1.05</f>
        <v>777.92400000000009</v>
      </c>
      <c r="E8" s="63">
        <f>(((((income!$C$5*income!$D$5)*E5)*1.05)*1.05)*1.05)*1.05</f>
        <v>777.92400000000009</v>
      </c>
      <c r="F8" s="63">
        <f>(((((income!$C$5*income!$D$5)*F5)*1.05)*1.05)*1.05)*1.05</f>
        <v>972.40500000000009</v>
      </c>
      <c r="G8" s="63">
        <f>(((((income!$C$5*income!$D$5)*G5)*1.05)*1.05)*1.05)*1.05</f>
        <v>777.92400000000009</v>
      </c>
      <c r="H8" s="63">
        <f>(((((income!$C$5*income!$D$5)*H5)*1.05)*1.05)*1.05)*1.05</f>
        <v>777.92400000000009</v>
      </c>
      <c r="I8" s="63">
        <f>(((((income!$C$5*income!$D$5)*I5)*1.05)*1.05)*1.05)*1.05</f>
        <v>583.4430000000001</v>
      </c>
      <c r="J8" s="63">
        <f>(((((income!$C$5*income!$D$5)*J5)*1.05)*1.05)*1.05)*1.05</f>
        <v>777.92400000000009</v>
      </c>
      <c r="K8" s="63">
        <f>(((((income!$C$5*income!$D$5)*K5)*1.05)*1.05)*1.05)*1.05</f>
        <v>777.92400000000009</v>
      </c>
      <c r="L8" s="63">
        <f>(((((income!$C$5*income!$D$5)*L5)*1.05)*1.05)*1.05)*1.05</f>
        <v>972.40500000000009</v>
      </c>
      <c r="M8" s="63">
        <f>(((((income!$C$5*income!$D$5)*M5)*1.05)*1.05)*1.05)*1.05</f>
        <v>777.92400000000009</v>
      </c>
      <c r="N8" s="63">
        <f>(((((income!$C$5*income!$D$5)*N5)*1.05)*1.05)*1.05)*1.05</f>
        <v>583.4430000000001</v>
      </c>
      <c r="O8" s="39">
        <f t="shared" si="1"/>
        <v>9335.0879999999997</v>
      </c>
      <c r="Q8" s="20"/>
    </row>
    <row r="9" spans="1:17" ht="15.75">
      <c r="A9" s="36"/>
      <c r="B9" s="37" t="s">
        <v>84</v>
      </c>
      <c r="C9" s="63">
        <f>(((((income!$C$6*income!$D$6)*C5)*1.05)*1.05)*1.05)*1.05</f>
        <v>1166.8860000000002</v>
      </c>
      <c r="D9" s="63">
        <f>(((((income!$C$6*income!$D$6)*D5)*1.05)*1.05)*1.05)*1.05</f>
        <v>1166.8860000000002</v>
      </c>
      <c r="E9" s="63">
        <f>(((((income!$C$6*income!$D$6)*E5)*1.05)*1.05)*1.05)*1.05</f>
        <v>1166.8860000000002</v>
      </c>
      <c r="F9" s="63">
        <f>(((((income!$C$6*income!$D$6)*F5)*1.05)*1.05)*1.05)*1.05</f>
        <v>1458.6075000000001</v>
      </c>
      <c r="G9" s="63">
        <f>(((((income!$C$6*income!$D$6)*G5)*1.05)*1.05)*1.05)*1.05</f>
        <v>1166.8860000000002</v>
      </c>
      <c r="H9" s="63">
        <f>(((((income!$C$6*income!$D$6)*H5)*1.05)*1.05)*1.05)*1.05</f>
        <v>1166.8860000000002</v>
      </c>
      <c r="I9" s="63">
        <f>(((((income!$C$6*income!$D$6)*I5)*1.05)*1.05)*1.05)*1.05</f>
        <v>875.1645000000002</v>
      </c>
      <c r="J9" s="63">
        <f>(((((income!$C$6*income!$D$6)*J5)*1.05)*1.05)*1.05)*1.05</f>
        <v>1166.8860000000002</v>
      </c>
      <c r="K9" s="63">
        <f>(((((income!$C$6*income!$D$6)*K5)*1.05)*1.05)*1.05)*1.05</f>
        <v>1166.8860000000002</v>
      </c>
      <c r="L9" s="63">
        <f>(((((income!$C$6*income!$D$6)*L5)*1.05)*1.05)*1.05)*1.05</f>
        <v>1458.6075000000001</v>
      </c>
      <c r="M9" s="63">
        <f>(((((income!$C$6*income!$D$6)*M5)*1.05)*1.05)*1.05)*1.05</f>
        <v>1166.8860000000002</v>
      </c>
      <c r="N9" s="63">
        <f>(((((income!$C$6*income!$D$6)*N5)*1.05)*1.05)*1.05)*1.05</f>
        <v>875.1645000000002</v>
      </c>
      <c r="O9" s="39">
        <f>SUM(C9:N9)</f>
        <v>14002.632000000003</v>
      </c>
      <c r="P9" s="19"/>
      <c r="Q9" s="20"/>
    </row>
    <row r="10" spans="1:17" ht="15.75">
      <c r="A10" s="36"/>
      <c r="B10" s="37" t="s">
        <v>85</v>
      </c>
      <c r="C10" s="63">
        <f>(((((income!$C$7*income!$D$7)*C5)*1.05)*1.05)*1.05)*1.05</f>
        <v>204.20505000000003</v>
      </c>
      <c r="D10" s="63">
        <f>(((((income!$C$7*income!$D$7)*D5)*1.05)*1.05)*1.05)*1.05</f>
        <v>204.20505000000003</v>
      </c>
      <c r="E10" s="63">
        <f>(((((income!$C$7*income!$D$7)*E5)*1.05)*1.05)*1.05)*1.05</f>
        <v>204.20505000000003</v>
      </c>
      <c r="F10" s="63">
        <f>(((((income!$C$7*income!$D$7)*F5)*1.05)*1.05)*1.05)*1.05</f>
        <v>255.25631250000004</v>
      </c>
      <c r="G10" s="63">
        <f>(((((income!$C$7*income!$D$7)*G5)*1.05)*1.05)*1.05)*1.05</f>
        <v>204.20505000000003</v>
      </c>
      <c r="H10" s="63">
        <f>(((((income!$C$7*income!$D$7)*H5)*1.05)*1.05)*1.05)*1.05</f>
        <v>204.20505000000003</v>
      </c>
      <c r="I10" s="63">
        <f>(((((income!$C$7*income!$D$7)*I5)*1.05)*1.05)*1.05)*1.05</f>
        <v>153.15378750000002</v>
      </c>
      <c r="J10" s="63">
        <f>(((((income!$C$7*income!$D$7)*J5)*1.05)*1.05)*1.05)*1.05</f>
        <v>204.20505000000003</v>
      </c>
      <c r="K10" s="63">
        <f>(((((income!$C$7*income!$D$7)*K5)*1.05)*1.05)*1.05)*1.05</f>
        <v>204.20505000000003</v>
      </c>
      <c r="L10" s="63">
        <f>(((((income!$C$7*income!$D$7)*L5)*1.05)*1.05)*1.05)*1.05</f>
        <v>255.25631250000004</v>
      </c>
      <c r="M10" s="63">
        <f>(((((income!$C$7*income!$D$7)*M5)*1.05)*1.05)*1.05)*1.05</f>
        <v>204.20505000000003</v>
      </c>
      <c r="N10" s="63">
        <f>(((((income!$C$7*income!$D$7)*N5)*1.05)*1.05)*1.05)*1.05</f>
        <v>153.15378750000002</v>
      </c>
      <c r="O10" s="39">
        <f>SUM(C10:N10)</f>
        <v>2450.4606000000003</v>
      </c>
      <c r="P10" s="19"/>
      <c r="Q10" s="20"/>
    </row>
    <row r="11" spans="1:17" ht="16.5" thickBot="1">
      <c r="A11" s="36"/>
      <c r="B11" s="41" t="s">
        <v>86</v>
      </c>
      <c r="C11" s="64">
        <f>SUM(C6:C10)</f>
        <v>5941.3945500000009</v>
      </c>
      <c r="D11" s="64">
        <f t="shared" ref="D11:N11" si="2">SUM(D6:D10)</f>
        <v>5941.3945500000009</v>
      </c>
      <c r="E11" s="64">
        <f t="shared" si="2"/>
        <v>5941.3945500000009</v>
      </c>
      <c r="F11" s="64">
        <f t="shared" si="2"/>
        <v>7426.7431875000002</v>
      </c>
      <c r="G11" s="64">
        <f t="shared" si="2"/>
        <v>5941.3945500000009</v>
      </c>
      <c r="H11" s="64">
        <f t="shared" si="2"/>
        <v>5941.3945500000009</v>
      </c>
      <c r="I11" s="64">
        <f t="shared" si="2"/>
        <v>4456.0459125000007</v>
      </c>
      <c r="J11" s="64">
        <f t="shared" si="2"/>
        <v>5941.3945500000009</v>
      </c>
      <c r="K11" s="64">
        <f t="shared" si="2"/>
        <v>5941.3945500000009</v>
      </c>
      <c r="L11" s="64">
        <f t="shared" si="2"/>
        <v>7426.7431875000002</v>
      </c>
      <c r="M11" s="64">
        <f t="shared" si="2"/>
        <v>5941.3945500000009</v>
      </c>
      <c r="N11" s="64">
        <f t="shared" si="2"/>
        <v>4456.0459125000007</v>
      </c>
      <c r="O11" s="43">
        <f>SUM(O6:O10)</f>
        <v>71296.734600000011</v>
      </c>
      <c r="Q11" s="20"/>
    </row>
    <row r="12" spans="1:17" ht="15">
      <c r="A12" s="36"/>
      <c r="B12" s="40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9"/>
      <c r="Q12" s="20"/>
    </row>
    <row r="13" spans="1:17" ht="15.75">
      <c r="B13" s="11" t="s">
        <v>87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9">
        <f t="shared" ref="O13:O29" si="3">SUM(C13:N13)</f>
        <v>0</v>
      </c>
    </row>
    <row r="14" spans="1:17" ht="15.75">
      <c r="A14" s="36"/>
      <c r="B14" s="11" t="s">
        <v>87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9">
        <f t="shared" si="3"/>
        <v>0</v>
      </c>
    </row>
    <row r="15" spans="1:17" ht="15.75">
      <c r="A15" s="36"/>
      <c r="B15" s="44" t="s">
        <v>87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>
        <f t="shared" si="3"/>
        <v>0</v>
      </c>
    </row>
    <row r="16" spans="1:17" ht="16.5" thickBot="1">
      <c r="B16" s="45" t="s">
        <v>88</v>
      </c>
      <c r="C16" s="42">
        <f>SUM(C13:C15)</f>
        <v>0</v>
      </c>
      <c r="D16" s="42">
        <f t="shared" ref="D16:O16" si="4">SUM(D13:D15)</f>
        <v>0</v>
      </c>
      <c r="E16" s="42">
        <f>SUM(E13:E15)</f>
        <v>0</v>
      </c>
      <c r="F16" s="42">
        <f t="shared" si="4"/>
        <v>0</v>
      </c>
      <c r="G16" s="42">
        <f t="shared" si="4"/>
        <v>0</v>
      </c>
      <c r="H16" s="42">
        <f t="shared" si="4"/>
        <v>0</v>
      </c>
      <c r="I16" s="42">
        <f t="shared" si="4"/>
        <v>0</v>
      </c>
      <c r="J16" s="42">
        <f t="shared" si="4"/>
        <v>0</v>
      </c>
      <c r="K16" s="42">
        <f t="shared" si="4"/>
        <v>0</v>
      </c>
      <c r="L16" s="42">
        <f t="shared" si="4"/>
        <v>0</v>
      </c>
      <c r="M16" s="42">
        <f t="shared" si="4"/>
        <v>0</v>
      </c>
      <c r="N16" s="42">
        <f>SUM(N13:N15)</f>
        <v>0</v>
      </c>
      <c r="O16" s="43">
        <f t="shared" si="4"/>
        <v>0</v>
      </c>
    </row>
    <row r="17" spans="1:17" ht="15.75">
      <c r="A17" s="36"/>
      <c r="B17" s="44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9"/>
    </row>
    <row r="18" spans="1:17" ht="16.5" thickBot="1">
      <c r="A18" s="36"/>
      <c r="B18" s="46" t="s">
        <v>89</v>
      </c>
      <c r="C18" s="43">
        <f>C11+C16</f>
        <v>5941.3945500000009</v>
      </c>
      <c r="D18" s="43">
        <f t="shared" ref="D18:N18" si="5">D11+D16</f>
        <v>5941.3945500000009</v>
      </c>
      <c r="E18" s="43">
        <f t="shared" si="5"/>
        <v>5941.3945500000009</v>
      </c>
      <c r="F18" s="43">
        <f t="shared" si="5"/>
        <v>7426.7431875000002</v>
      </c>
      <c r="G18" s="43">
        <f t="shared" si="5"/>
        <v>5941.3945500000009</v>
      </c>
      <c r="H18" s="43">
        <f t="shared" si="5"/>
        <v>5941.3945500000009</v>
      </c>
      <c r="I18" s="43">
        <f t="shared" si="5"/>
        <v>4456.0459125000007</v>
      </c>
      <c r="J18" s="43">
        <f t="shared" si="5"/>
        <v>5941.3945500000009</v>
      </c>
      <c r="K18" s="43">
        <f t="shared" si="5"/>
        <v>5941.3945500000009</v>
      </c>
      <c r="L18" s="43">
        <f t="shared" si="5"/>
        <v>7426.7431875000002</v>
      </c>
      <c r="M18" s="43">
        <f t="shared" si="5"/>
        <v>5941.3945500000009</v>
      </c>
      <c r="N18" s="43">
        <f t="shared" si="5"/>
        <v>4456.0459125000007</v>
      </c>
      <c r="O18" s="43">
        <f>O11+O16</f>
        <v>71296.734600000011</v>
      </c>
    </row>
    <row r="19" spans="1:17" ht="15.75">
      <c r="A19" s="36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9"/>
    </row>
    <row r="20" spans="1:17" ht="15.75">
      <c r="A20" s="36" t="s">
        <v>55</v>
      </c>
      <c r="B20" s="11" t="s">
        <v>37</v>
      </c>
      <c r="C20" s="47">
        <f>(('Potential funders'!$B$4/12)*1.05)*1.05</f>
        <v>91.875</v>
      </c>
      <c r="D20" s="47">
        <f>(('Potential funders'!$B$4/12)*1.05)*1.05</f>
        <v>91.875</v>
      </c>
      <c r="E20" s="47">
        <f>(('Potential funders'!$B$4/12)*1.05)*1.05</f>
        <v>91.875</v>
      </c>
      <c r="F20" s="47">
        <f>(('Potential funders'!$B$4/12)*1.05)*1.05</f>
        <v>91.875</v>
      </c>
      <c r="G20" s="47">
        <f>(('Potential funders'!$B$4/12)*1.05)*1.05</f>
        <v>91.875</v>
      </c>
      <c r="H20" s="47">
        <f>(('Potential funders'!$B$4/12)*1.05)*1.05</f>
        <v>91.875</v>
      </c>
      <c r="I20" s="47">
        <f>(('Potential funders'!$B$4/12)*1.05)*1.05</f>
        <v>91.875</v>
      </c>
      <c r="J20" s="47">
        <f>(('Potential funders'!$B$4/12)*1.05)*1.05</f>
        <v>91.875</v>
      </c>
      <c r="K20" s="47">
        <f>(('Potential funders'!$B$4/12)*1.05)*1.05</f>
        <v>91.875</v>
      </c>
      <c r="L20" s="47">
        <f>(('Potential funders'!$B$4/12)*1.05)*1.05</f>
        <v>91.875</v>
      </c>
      <c r="M20" s="47">
        <f>(('Potential funders'!$B$4/12)*1.05)*1.05</f>
        <v>91.875</v>
      </c>
      <c r="N20" s="47">
        <f>(('Potential funders'!$B$4/12)*1.05)*1.05</f>
        <v>91.875</v>
      </c>
      <c r="O20" s="39">
        <f t="shared" si="3"/>
        <v>1102.5</v>
      </c>
    </row>
    <row r="21" spans="1:17" ht="15.75">
      <c r="B21" s="11" t="s">
        <v>39</v>
      </c>
      <c r="C21" s="38"/>
      <c r="D21" s="38"/>
      <c r="E21" s="38"/>
      <c r="F21" s="38"/>
      <c r="G21" s="38"/>
      <c r="H21" s="38"/>
      <c r="I21" s="38"/>
      <c r="J21" s="38"/>
      <c r="K21" s="38"/>
      <c r="L21" s="48"/>
      <c r="M21" s="38"/>
      <c r="N21" s="38"/>
      <c r="O21" s="39">
        <f>SUM(C21:N21)</f>
        <v>0</v>
      </c>
    </row>
    <row r="22" spans="1:17" ht="15.75">
      <c r="B22" s="11" t="s">
        <v>41</v>
      </c>
      <c r="C22" s="38">
        <f>'Potential funders'!$B$19/12</f>
        <v>875</v>
      </c>
      <c r="D22" s="38">
        <f>'Potential funders'!$B$19/12</f>
        <v>875</v>
      </c>
      <c r="E22" s="38">
        <f>'Potential funders'!$B$19/12</f>
        <v>875</v>
      </c>
      <c r="F22" s="38">
        <f>'Potential funders'!$B$19/12</f>
        <v>875</v>
      </c>
      <c r="G22" s="38">
        <f>'Potential funders'!$B$19/12</f>
        <v>875</v>
      </c>
      <c r="H22" s="38">
        <f>'Potential funders'!$B$19/12</f>
        <v>875</v>
      </c>
      <c r="I22" s="38">
        <f>'Potential funders'!$B$19/12</f>
        <v>875</v>
      </c>
      <c r="J22" s="38">
        <f>'Potential funders'!$B$19/12</f>
        <v>875</v>
      </c>
      <c r="K22" s="38">
        <f>'Potential funders'!$B$19/12</f>
        <v>875</v>
      </c>
      <c r="L22" s="38">
        <f>'Potential funders'!$B$19/12</f>
        <v>875</v>
      </c>
      <c r="M22" s="38">
        <f>'Potential funders'!$B$19/12</f>
        <v>875</v>
      </c>
      <c r="N22" s="38">
        <f>'Potential funders'!$B$19/12</f>
        <v>875</v>
      </c>
      <c r="O22" s="39">
        <f>SUM(C22:N22)</f>
        <v>10500</v>
      </c>
    </row>
    <row r="23" spans="1:17" ht="15.75">
      <c r="B23" s="11" t="s">
        <v>45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</row>
    <row r="24" spans="1:17" ht="16.5" thickBot="1">
      <c r="B24" s="49" t="s">
        <v>90</v>
      </c>
      <c r="C24" s="50">
        <f t="shared" ref="C24:O24" si="6">SUM(C20:C22)</f>
        <v>966.875</v>
      </c>
      <c r="D24" s="50">
        <f t="shared" si="6"/>
        <v>966.875</v>
      </c>
      <c r="E24" s="50">
        <f t="shared" si="6"/>
        <v>966.875</v>
      </c>
      <c r="F24" s="50">
        <f t="shared" si="6"/>
        <v>966.875</v>
      </c>
      <c r="G24" s="50">
        <f t="shared" si="6"/>
        <v>966.875</v>
      </c>
      <c r="H24" s="50">
        <f t="shared" si="6"/>
        <v>966.875</v>
      </c>
      <c r="I24" s="50">
        <f t="shared" si="6"/>
        <v>966.875</v>
      </c>
      <c r="J24" s="50">
        <f t="shared" si="6"/>
        <v>966.875</v>
      </c>
      <c r="K24" s="50">
        <f t="shared" si="6"/>
        <v>966.875</v>
      </c>
      <c r="L24" s="50">
        <f t="shared" si="6"/>
        <v>966.875</v>
      </c>
      <c r="M24" s="50">
        <f t="shared" si="6"/>
        <v>966.875</v>
      </c>
      <c r="N24" s="50">
        <f>SUM(N20:N22)</f>
        <v>966.875</v>
      </c>
      <c r="O24" s="50">
        <f t="shared" si="6"/>
        <v>11602.5</v>
      </c>
      <c r="Q24" s="21"/>
    </row>
    <row r="25" spans="1:17" ht="15.75">
      <c r="B25" s="1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</row>
    <row r="26" spans="1:17" ht="16.5" thickBot="1">
      <c r="B26" s="34" t="s">
        <v>91</v>
      </c>
      <c r="C26" s="35">
        <f>C18+C24</f>
        <v>6908.2695500000009</v>
      </c>
      <c r="D26" s="35">
        <f t="shared" ref="D26:N26" si="7">D18+D24</f>
        <v>6908.2695500000009</v>
      </c>
      <c r="E26" s="35">
        <f t="shared" si="7"/>
        <v>6908.2695500000009</v>
      </c>
      <c r="F26" s="35">
        <f t="shared" si="7"/>
        <v>8393.6181875000002</v>
      </c>
      <c r="G26" s="35">
        <f t="shared" si="7"/>
        <v>6908.2695500000009</v>
      </c>
      <c r="H26" s="35">
        <f t="shared" si="7"/>
        <v>6908.2695500000009</v>
      </c>
      <c r="I26" s="35">
        <f t="shared" si="7"/>
        <v>5422.9209125000007</v>
      </c>
      <c r="J26" s="35">
        <f t="shared" si="7"/>
        <v>6908.2695500000009</v>
      </c>
      <c r="K26" s="35">
        <f t="shared" si="7"/>
        <v>6908.2695500000009</v>
      </c>
      <c r="L26" s="35">
        <f t="shared" si="7"/>
        <v>8393.6181875000002</v>
      </c>
      <c r="M26" s="35">
        <f t="shared" si="7"/>
        <v>6908.2695500000009</v>
      </c>
      <c r="N26" s="35">
        <f t="shared" si="7"/>
        <v>5422.9209125000007</v>
      </c>
      <c r="O26" s="35">
        <f>SUM(O18+O24)</f>
        <v>82899.234600000011</v>
      </c>
    </row>
    <row r="27" spans="1:17" ht="16.5" thickTop="1">
      <c r="B27" s="1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2"/>
      <c r="P27" s="23"/>
    </row>
    <row r="28" spans="1:17" ht="15.75">
      <c r="A28" s="9" t="s">
        <v>92</v>
      </c>
      <c r="B28" s="11" t="s">
        <v>93</v>
      </c>
      <c r="C28" s="38">
        <v>20</v>
      </c>
      <c r="D28" s="38">
        <v>20</v>
      </c>
      <c r="E28" s="38">
        <v>20</v>
      </c>
      <c r="F28" s="38">
        <v>20</v>
      </c>
      <c r="G28" s="38">
        <v>20</v>
      </c>
      <c r="H28" s="38">
        <v>20</v>
      </c>
      <c r="I28" s="38">
        <v>20</v>
      </c>
      <c r="J28" s="38">
        <v>20</v>
      </c>
      <c r="K28" s="38">
        <v>20</v>
      </c>
      <c r="L28" s="38">
        <v>20</v>
      </c>
      <c r="M28" s="38">
        <v>20</v>
      </c>
      <c r="N28" s="38">
        <v>20</v>
      </c>
      <c r="O28" s="39">
        <f>SUM(C28:N28)</f>
        <v>240</v>
      </c>
      <c r="P28" s="24"/>
      <c r="Q28" s="24"/>
    </row>
    <row r="29" spans="1:17" ht="15.75">
      <c r="B29" s="11" t="s">
        <v>94</v>
      </c>
      <c r="C29" s="38">
        <f>((22*1.05)*1.05)*1.05</f>
        <v>25.467750000000002</v>
      </c>
      <c r="D29" s="38">
        <f t="shared" ref="D29:N29" si="8">((22*1.05)*1.05)*1.05</f>
        <v>25.467750000000002</v>
      </c>
      <c r="E29" s="38">
        <f t="shared" si="8"/>
        <v>25.467750000000002</v>
      </c>
      <c r="F29" s="38">
        <f t="shared" si="8"/>
        <v>25.467750000000002</v>
      </c>
      <c r="G29" s="38">
        <f t="shared" si="8"/>
        <v>25.467750000000002</v>
      </c>
      <c r="H29" s="38">
        <f t="shared" si="8"/>
        <v>25.467750000000002</v>
      </c>
      <c r="I29" s="38">
        <f t="shared" si="8"/>
        <v>25.467750000000002</v>
      </c>
      <c r="J29" s="38">
        <f t="shared" si="8"/>
        <v>25.467750000000002</v>
      </c>
      <c r="K29" s="38">
        <f t="shared" si="8"/>
        <v>25.467750000000002</v>
      </c>
      <c r="L29" s="38">
        <f t="shared" si="8"/>
        <v>25.467750000000002</v>
      </c>
      <c r="M29" s="38">
        <f t="shared" si="8"/>
        <v>25.467750000000002</v>
      </c>
      <c r="N29" s="38">
        <f t="shared" si="8"/>
        <v>25.467750000000002</v>
      </c>
      <c r="O29" s="39">
        <f t="shared" ref="O29:O44" si="9">SUM(C29:N29)</f>
        <v>305.613</v>
      </c>
      <c r="P29" s="23"/>
    </row>
    <row r="30" spans="1:17" ht="15.75">
      <c r="B30" s="11" t="s">
        <v>95</v>
      </c>
      <c r="C30" s="38">
        <f>[1]Expenses!$P$23</f>
        <v>0</v>
      </c>
      <c r="D30" s="38">
        <f>[1]Expenses!$P$23</f>
        <v>0</v>
      </c>
      <c r="E30" s="38">
        <f>[1]Expenses!$P$23</f>
        <v>0</v>
      </c>
      <c r="F30" s="38">
        <f>[1]Expenses!$P$23</f>
        <v>0</v>
      </c>
      <c r="G30" s="38">
        <f>[1]Expenses!$P$23</f>
        <v>0</v>
      </c>
      <c r="H30" s="38">
        <f>[1]Expenses!$P$23</f>
        <v>0</v>
      </c>
      <c r="I30" s="38">
        <f>[1]Expenses!$P$23</f>
        <v>0</v>
      </c>
      <c r="J30" s="38">
        <f>[1]Expenses!$P$23</f>
        <v>0</v>
      </c>
      <c r="K30" s="38">
        <f>[1]Expenses!$P$23</f>
        <v>0</v>
      </c>
      <c r="L30" s="38">
        <f>[1]Expenses!$P$23</f>
        <v>0</v>
      </c>
      <c r="M30" s="38">
        <f>[1]Expenses!$P$23</f>
        <v>0</v>
      </c>
      <c r="N30" s="38">
        <f>[1]Expenses!$P$23</f>
        <v>0</v>
      </c>
      <c r="O30" s="39">
        <f t="shared" si="9"/>
        <v>0</v>
      </c>
    </row>
    <row r="31" spans="1:17" ht="15.75">
      <c r="B31" s="11" t="s">
        <v>96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9">
        <f t="shared" si="9"/>
        <v>0</v>
      </c>
    </row>
    <row r="32" spans="1:17" ht="15.75">
      <c r="B32" s="11" t="s">
        <v>97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9">
        <f t="shared" si="9"/>
        <v>0</v>
      </c>
    </row>
    <row r="33" spans="1:17" ht="15.75">
      <c r="B33" s="11" t="s">
        <v>98</v>
      </c>
      <c r="C33" s="38">
        <f>((((expenses!$D$11/12)*1.05)*1.05)*1.05)*1.05</f>
        <v>2633.5968750000002</v>
      </c>
      <c r="D33" s="38">
        <f>((((expenses!$D$11/12)*1.05)*1.05)*1.05)*1.05</f>
        <v>2633.5968750000002</v>
      </c>
      <c r="E33" s="38">
        <f>((((expenses!$D$11/12)*1.05)*1.05)*1.05)*1.05</f>
        <v>2633.5968750000002</v>
      </c>
      <c r="F33" s="38">
        <f>((((expenses!$D$11/12)*1.05)*1.05)*1.05)*1.05</f>
        <v>2633.5968750000002</v>
      </c>
      <c r="G33" s="38">
        <f>((((expenses!$D$11/12)*1.05)*1.05)*1.05)*1.05</f>
        <v>2633.5968750000002</v>
      </c>
      <c r="H33" s="38">
        <f>((((expenses!$D$11/12)*1.05)*1.05)*1.05)*1.05</f>
        <v>2633.5968750000002</v>
      </c>
      <c r="I33" s="38">
        <f>((((expenses!$D$11/12)*1.05)*1.05)*1.05)*1.05</f>
        <v>2633.5968750000002</v>
      </c>
      <c r="J33" s="38">
        <f>((((expenses!$D$11/12)*1.05)*1.05)*1.05)*1.05</f>
        <v>2633.5968750000002</v>
      </c>
      <c r="K33" s="38">
        <f>((((expenses!$D$11/12)*1.05)*1.05)*1.05)*1.05</f>
        <v>2633.5968750000002</v>
      </c>
      <c r="L33" s="38">
        <f>((((expenses!$D$11/12)*1.05)*1.05)*1.05)*1.05</f>
        <v>2633.5968750000002</v>
      </c>
      <c r="M33" s="38">
        <f>((((expenses!$D$11/12)*1.05)*1.05)*1.05)*1.05</f>
        <v>2633.5968750000002</v>
      </c>
      <c r="N33" s="38">
        <f>((((expenses!$D$11/12)*1.05)*1.05)*1.05)*1.05</f>
        <v>2633.5968750000002</v>
      </c>
      <c r="O33" s="39">
        <f t="shared" si="9"/>
        <v>31603.162499999995</v>
      </c>
    </row>
    <row r="34" spans="1:17" ht="15.75">
      <c r="B34" s="11" t="s">
        <v>99</v>
      </c>
      <c r="C34" s="38">
        <f>((((expenses!$D$16/12)*1.05)*1.05)*1.05)*1.05</f>
        <v>101.29218750000001</v>
      </c>
      <c r="D34" s="38">
        <f>((((expenses!$D$16/12)*1.05)*1.05)*1.05)*1.05</f>
        <v>101.29218750000001</v>
      </c>
      <c r="E34" s="38">
        <f>((((expenses!$D$16/12)*1.05)*1.05)*1.05)*1.05</f>
        <v>101.29218750000001</v>
      </c>
      <c r="F34" s="38">
        <f>((((expenses!$D$16/12)*1.05)*1.05)*1.05)*1.05</f>
        <v>101.29218750000001</v>
      </c>
      <c r="G34" s="38">
        <f>((((expenses!$D$16/12)*1.05)*1.05)*1.05)*1.05</f>
        <v>101.29218750000001</v>
      </c>
      <c r="H34" s="38">
        <f>((((expenses!$D$16/12)*1.05)*1.05)*1.05)*1.05</f>
        <v>101.29218750000001</v>
      </c>
      <c r="I34" s="38">
        <f>((((expenses!$D$16/12)*1.05)*1.05)*1.05)*1.05</f>
        <v>101.29218750000001</v>
      </c>
      <c r="J34" s="38">
        <f>((((expenses!$D$16/12)*1.05)*1.05)*1.05)*1.05</f>
        <v>101.29218750000001</v>
      </c>
      <c r="K34" s="38">
        <f>((((expenses!$D$16/12)*1.05)*1.05)*1.05)*1.05</f>
        <v>101.29218750000001</v>
      </c>
      <c r="L34" s="38">
        <f>((((expenses!$D$16/12)*1.05)*1.05)*1.05)*1.05</f>
        <v>101.29218750000001</v>
      </c>
      <c r="M34" s="38">
        <f>((((expenses!$D$16/12)*1.05)*1.05)*1.05)*1.05</f>
        <v>101.29218750000001</v>
      </c>
      <c r="N34" s="38">
        <f>((((expenses!$D$16/12)*1.05)*1.05)*1.05)*1.05</f>
        <v>101.29218750000001</v>
      </c>
      <c r="O34" s="39">
        <f t="shared" si="9"/>
        <v>1215.5062499999999</v>
      </c>
    </row>
    <row r="35" spans="1:17" ht="15.75">
      <c r="B35" s="11" t="s">
        <v>100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9">
        <f t="shared" si="9"/>
        <v>0</v>
      </c>
    </row>
    <row r="36" spans="1:17" ht="15.75">
      <c r="B36" s="11" t="s">
        <v>101</v>
      </c>
      <c r="C36" s="38">
        <f>((50*1.05)*1.05)*1.05</f>
        <v>57.881250000000001</v>
      </c>
      <c r="D36" s="38">
        <f t="shared" ref="D36:N36" si="10">((50*1.05)*1.05)*1.05</f>
        <v>57.881250000000001</v>
      </c>
      <c r="E36" s="38">
        <f t="shared" si="10"/>
        <v>57.881250000000001</v>
      </c>
      <c r="F36" s="38">
        <f t="shared" si="10"/>
        <v>57.881250000000001</v>
      </c>
      <c r="G36" s="38">
        <f t="shared" si="10"/>
        <v>57.881250000000001</v>
      </c>
      <c r="H36" s="38">
        <f t="shared" si="10"/>
        <v>57.881250000000001</v>
      </c>
      <c r="I36" s="38">
        <f t="shared" si="10"/>
        <v>57.881250000000001</v>
      </c>
      <c r="J36" s="38">
        <f t="shared" si="10"/>
        <v>57.881250000000001</v>
      </c>
      <c r="K36" s="38">
        <f t="shared" si="10"/>
        <v>57.881250000000001</v>
      </c>
      <c r="L36" s="38">
        <f t="shared" si="10"/>
        <v>57.881250000000001</v>
      </c>
      <c r="M36" s="38">
        <f t="shared" si="10"/>
        <v>57.881250000000001</v>
      </c>
      <c r="N36" s="38">
        <f t="shared" si="10"/>
        <v>57.881250000000001</v>
      </c>
      <c r="O36" s="39">
        <f t="shared" si="9"/>
        <v>694.57500000000016</v>
      </c>
    </row>
    <row r="37" spans="1:17" ht="15.75">
      <c r="B37" s="11" t="s">
        <v>102</v>
      </c>
      <c r="C37" s="38">
        <f>1000/12</f>
        <v>83.333333333333329</v>
      </c>
      <c r="D37" s="38">
        <f t="shared" ref="D37:N37" si="11">1000/12</f>
        <v>83.333333333333329</v>
      </c>
      <c r="E37" s="38">
        <f t="shared" si="11"/>
        <v>83.333333333333329</v>
      </c>
      <c r="F37" s="38">
        <f t="shared" si="11"/>
        <v>83.333333333333329</v>
      </c>
      <c r="G37" s="38">
        <f t="shared" si="11"/>
        <v>83.333333333333329</v>
      </c>
      <c r="H37" s="38">
        <f t="shared" si="11"/>
        <v>83.333333333333329</v>
      </c>
      <c r="I37" s="38">
        <f t="shared" si="11"/>
        <v>83.333333333333329</v>
      </c>
      <c r="J37" s="38">
        <f t="shared" si="11"/>
        <v>83.333333333333329</v>
      </c>
      <c r="K37" s="38">
        <f t="shared" si="11"/>
        <v>83.333333333333329</v>
      </c>
      <c r="L37" s="38">
        <f t="shared" si="11"/>
        <v>83.333333333333329</v>
      </c>
      <c r="M37" s="38">
        <f t="shared" si="11"/>
        <v>83.333333333333329</v>
      </c>
      <c r="N37" s="38">
        <f t="shared" si="11"/>
        <v>83.333333333333329</v>
      </c>
      <c r="O37" s="39">
        <f t="shared" si="9"/>
        <v>1000.0000000000001</v>
      </c>
    </row>
    <row r="38" spans="1:17" ht="15.75">
      <c r="B38" s="11" t="s">
        <v>16</v>
      </c>
      <c r="C38" s="38">
        <f>(((expenses!$D$14/12)*1.05)*1.05)*1.05</f>
        <v>96.46875</v>
      </c>
      <c r="D38" s="38">
        <f>(((expenses!$D$14/12)*1.05)*1.05)*1.05</f>
        <v>96.46875</v>
      </c>
      <c r="E38" s="38">
        <f>(((expenses!$D$14/12)*1.05)*1.05)*1.05</f>
        <v>96.46875</v>
      </c>
      <c r="F38" s="38">
        <f>(((expenses!$D$14/12)*1.05)*1.05)*1.05</f>
        <v>96.46875</v>
      </c>
      <c r="G38" s="38">
        <f>(((expenses!$D$14/12)*1.05)*1.05)*1.05</f>
        <v>96.46875</v>
      </c>
      <c r="H38" s="38">
        <f>(((expenses!$D$14/12)*1.05)*1.05)*1.05</f>
        <v>96.46875</v>
      </c>
      <c r="I38" s="38">
        <f>(((expenses!$D$14/12)*1.05)*1.05)*1.05</f>
        <v>96.46875</v>
      </c>
      <c r="J38" s="38">
        <f>(((expenses!$D$14/12)*1.05)*1.05)*1.05</f>
        <v>96.46875</v>
      </c>
      <c r="K38" s="38">
        <f>(((expenses!$D$14/12)*1.05)*1.05)*1.05</f>
        <v>96.46875</v>
      </c>
      <c r="L38" s="38">
        <f>(((expenses!$D$14/12)*1.05)*1.05)*1.05</f>
        <v>96.46875</v>
      </c>
      <c r="M38" s="38">
        <f>(((expenses!$D$14/12)*1.05)*1.05)*1.05</f>
        <v>96.46875</v>
      </c>
      <c r="N38" s="38">
        <f>(((expenses!$D$14/12)*1.05)*1.05)*1.05</f>
        <v>96.46875</v>
      </c>
      <c r="O38" s="39">
        <f t="shared" si="9"/>
        <v>1157.625</v>
      </c>
    </row>
    <row r="39" spans="1:17" ht="15.75">
      <c r="B39" s="11" t="s">
        <v>103</v>
      </c>
      <c r="C39" s="38">
        <f>(((expenses!$D$12/12)*1.05)*1.05)*1.05</f>
        <v>347.28750000000002</v>
      </c>
      <c r="D39" s="38">
        <f>(((expenses!$D$12/12)*1.05)*1.05)*1.05</f>
        <v>347.28750000000002</v>
      </c>
      <c r="E39" s="38">
        <f>(((expenses!$D$12/12)*1.05)*1.05)*1.05</f>
        <v>347.28750000000002</v>
      </c>
      <c r="F39" s="38">
        <f>(((expenses!$D$12/12)*1.05)*1.05)*1.05</f>
        <v>347.28750000000002</v>
      </c>
      <c r="G39" s="38">
        <f>(((expenses!$D$12/12)*1.05)*1.05)*1.05</f>
        <v>347.28750000000002</v>
      </c>
      <c r="H39" s="38">
        <f>(((expenses!$D$12/12)*1.05)*1.05)*1.05</f>
        <v>347.28750000000002</v>
      </c>
      <c r="I39" s="38">
        <f>(((expenses!$D$12/12)*1.05)*1.05)*1.05</f>
        <v>347.28750000000002</v>
      </c>
      <c r="J39" s="38">
        <f>(((expenses!$D$12/12)*1.05)*1.05)*1.05</f>
        <v>347.28750000000002</v>
      </c>
      <c r="K39" s="38">
        <f>(((expenses!$D$12/12)*1.05)*1.05)*1.05</f>
        <v>347.28750000000002</v>
      </c>
      <c r="L39" s="38">
        <f>(((expenses!$D$12/12)*1.05)*1.05)*1.05</f>
        <v>347.28750000000002</v>
      </c>
      <c r="M39" s="38">
        <f>(((expenses!$D$12/12)*1.05)*1.05)*1.05</f>
        <v>347.28750000000002</v>
      </c>
      <c r="N39" s="38">
        <f>(((expenses!$D$12/12)*1.05)*1.05)*1.05</f>
        <v>347.28750000000002</v>
      </c>
      <c r="O39" s="39">
        <f t="shared" si="9"/>
        <v>4167.45</v>
      </c>
    </row>
    <row r="40" spans="1:17" ht="15.75">
      <c r="B40" s="11" t="s">
        <v>14</v>
      </c>
      <c r="C40" s="38">
        <f>('Cash Flow Y4 Jan to Dec 2029'!C40)*1.05</f>
        <v>289.40625</v>
      </c>
      <c r="D40" s="38">
        <f>('Cash Flow Y4 Jan to Dec 2029'!D40)*1.05</f>
        <v>289.40625</v>
      </c>
      <c r="E40" s="38">
        <f>('Cash Flow Y4 Jan to Dec 2029'!E40)*1.05</f>
        <v>289.40625</v>
      </c>
      <c r="F40" s="38">
        <f>('Cash Flow Y4 Jan to Dec 2029'!F40)*1.05</f>
        <v>289.40625</v>
      </c>
      <c r="G40" s="38">
        <f>('Cash Flow Y4 Jan to Dec 2029'!G40)*1.05</f>
        <v>289.40625</v>
      </c>
      <c r="H40" s="38">
        <f>('Cash Flow Y4 Jan to Dec 2029'!H40)*1.05</f>
        <v>289.40625</v>
      </c>
      <c r="I40" s="38">
        <f>('Cash Flow Y4 Jan to Dec 2029'!I40)*1.05</f>
        <v>289.40625</v>
      </c>
      <c r="J40" s="38">
        <f>('Cash Flow Y4 Jan to Dec 2029'!J40)*1.05</f>
        <v>289.40625</v>
      </c>
      <c r="K40" s="38">
        <f>('Cash Flow Y4 Jan to Dec 2029'!K40)*1.05</f>
        <v>289.40625</v>
      </c>
      <c r="L40" s="38">
        <f>('Cash Flow Y4 Jan to Dec 2029'!L40)*1.05</f>
        <v>289.40625</v>
      </c>
      <c r="M40" s="38">
        <f>('Cash Flow Y4 Jan to Dec 2029'!M40)*1.05</f>
        <v>289.40625</v>
      </c>
      <c r="N40" s="38">
        <f>('Cash Flow Y4 Jan to Dec 2029'!N40)*1.05</f>
        <v>289.40625</v>
      </c>
      <c r="O40" s="39">
        <f t="shared" si="9"/>
        <v>3472.875</v>
      </c>
    </row>
    <row r="41" spans="1:17" ht="15.75">
      <c r="B41" s="11" t="s">
        <v>18</v>
      </c>
      <c r="C41" s="38">
        <f>(((expenses!$D$15/12)*1.05)*1.05)*1.05</f>
        <v>57.881250000000001</v>
      </c>
      <c r="D41" s="38">
        <f>(((expenses!$D$15/12)*1.05)*1.05)*1.05</f>
        <v>57.881250000000001</v>
      </c>
      <c r="E41" s="38">
        <f>(((expenses!$D$15/12)*1.05)*1.05)*1.05</f>
        <v>57.881250000000001</v>
      </c>
      <c r="F41" s="38">
        <f>(((expenses!$D$15/12)*1.05)*1.05)*1.05</f>
        <v>57.881250000000001</v>
      </c>
      <c r="G41" s="38">
        <f>(((expenses!$D$15/12)*1.05)*1.05)*1.05</f>
        <v>57.881250000000001</v>
      </c>
      <c r="H41" s="38">
        <f>(((expenses!$D$15/12)*1.05)*1.05)*1.05</f>
        <v>57.881250000000001</v>
      </c>
      <c r="I41" s="38">
        <f>(((expenses!$D$15/12)*1.05)*1.05)*1.05</f>
        <v>57.881250000000001</v>
      </c>
      <c r="J41" s="38">
        <f>(((expenses!$D$15/12)*1.05)*1.05)*1.05</f>
        <v>57.881250000000001</v>
      </c>
      <c r="K41" s="38">
        <f>(((expenses!$D$15/12)*1.05)*1.05)*1.05</f>
        <v>57.881250000000001</v>
      </c>
      <c r="L41" s="38">
        <f>(((expenses!$D$15/12)*1.05)*1.05)*1.05</f>
        <v>57.881250000000001</v>
      </c>
      <c r="M41" s="38">
        <f>(((expenses!$D$15/12)*1.05)*1.05)*1.05</f>
        <v>57.881250000000001</v>
      </c>
      <c r="N41" s="38">
        <f>(((expenses!$D$15/12)*1.05)*1.05)*1.05</f>
        <v>57.881250000000001</v>
      </c>
      <c r="O41" s="39">
        <f t="shared" si="9"/>
        <v>694.57500000000016</v>
      </c>
    </row>
    <row r="42" spans="1:17" ht="15.75">
      <c r="B42" s="11" t="s">
        <v>104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9">
        <f t="shared" si="9"/>
        <v>0</v>
      </c>
    </row>
    <row r="43" spans="1:17" ht="15.75">
      <c r="B43" s="11" t="s">
        <v>105</v>
      </c>
      <c r="C43" s="38">
        <f>(20*1.05)*1.05</f>
        <v>22.05</v>
      </c>
      <c r="D43" s="38">
        <f t="shared" ref="D43:N43" si="12">(20*1.05)*1.05</f>
        <v>22.05</v>
      </c>
      <c r="E43" s="38">
        <f t="shared" si="12"/>
        <v>22.05</v>
      </c>
      <c r="F43" s="38">
        <f t="shared" si="12"/>
        <v>22.05</v>
      </c>
      <c r="G43" s="38">
        <f t="shared" si="12"/>
        <v>22.05</v>
      </c>
      <c r="H43" s="38">
        <f t="shared" si="12"/>
        <v>22.05</v>
      </c>
      <c r="I43" s="38">
        <f t="shared" si="12"/>
        <v>22.05</v>
      </c>
      <c r="J43" s="38">
        <f t="shared" si="12"/>
        <v>22.05</v>
      </c>
      <c r="K43" s="38">
        <f t="shared" si="12"/>
        <v>22.05</v>
      </c>
      <c r="L43" s="38">
        <f t="shared" si="12"/>
        <v>22.05</v>
      </c>
      <c r="M43" s="38">
        <f t="shared" si="12"/>
        <v>22.05</v>
      </c>
      <c r="N43" s="38">
        <f t="shared" si="12"/>
        <v>22.05</v>
      </c>
      <c r="O43" s="39">
        <f t="shared" si="9"/>
        <v>264.60000000000008</v>
      </c>
    </row>
    <row r="44" spans="1:17" ht="15.75">
      <c r="B44" s="11" t="s">
        <v>106</v>
      </c>
      <c r="C44" s="38">
        <f>('Cash Flow Y4 Jan to Dec 2029'!C44)*1.05</f>
        <v>18.522000000000002</v>
      </c>
      <c r="D44" s="38">
        <f>('Cash Flow Y4 Jan to Dec 2029'!D44)*1.05</f>
        <v>18.522000000000002</v>
      </c>
      <c r="E44" s="38">
        <f>D44+20</f>
        <v>38.522000000000006</v>
      </c>
      <c r="F44" s="38">
        <f>('Cash Flow Y4 Jan to Dec 2029'!F44)*1.05</f>
        <v>18.522000000000002</v>
      </c>
      <c r="G44" s="38">
        <f>('Cash Flow Y4 Jan to Dec 2029'!G44)*1.05</f>
        <v>18.522000000000002</v>
      </c>
      <c r="H44" s="38">
        <f>('Cash Flow Y4 Jan to Dec 2029'!H44)*1.05</f>
        <v>18.522000000000002</v>
      </c>
      <c r="I44" s="38">
        <f>('Cash Flow Y4 Jan to Dec 2029'!I44)*1.05</f>
        <v>18.522000000000002</v>
      </c>
      <c r="J44" s="38">
        <f>('Cash Flow Y4 Jan to Dec 2029'!J44)*1.05</f>
        <v>18.522000000000002</v>
      </c>
      <c r="K44" s="38">
        <f>('Cash Flow Y4 Jan to Dec 2029'!K44)*1.05</f>
        <v>18.522000000000002</v>
      </c>
      <c r="L44" s="38">
        <f>('Cash Flow Y4 Jan to Dec 2029'!L44)*1.05</f>
        <v>18.522000000000002</v>
      </c>
      <c r="M44" s="38">
        <f>('Cash Flow Y4 Jan to Dec 2029'!M44)*1.05</f>
        <v>18.522000000000002</v>
      </c>
      <c r="N44" s="38">
        <f>('Cash Flow Y4 Jan to Dec 2029'!N44)*1.05</f>
        <v>18.522000000000002</v>
      </c>
      <c r="O44" s="39">
        <f t="shared" si="9"/>
        <v>242.26399999999995</v>
      </c>
    </row>
    <row r="45" spans="1:17" ht="15.75">
      <c r="B45" s="11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9"/>
    </row>
    <row r="46" spans="1:17" ht="16.5" thickBot="1">
      <c r="B46" s="53" t="s">
        <v>107</v>
      </c>
      <c r="C46" s="54">
        <f t="shared" ref="C46:O46" si="13">SUM(C28:C45)</f>
        <v>3753.1871458333335</v>
      </c>
      <c r="D46" s="54">
        <f t="shared" si="13"/>
        <v>3753.1871458333335</v>
      </c>
      <c r="E46" s="54">
        <f t="shared" si="13"/>
        <v>3773.1871458333335</v>
      </c>
      <c r="F46" s="54">
        <f t="shared" si="13"/>
        <v>3753.1871458333335</v>
      </c>
      <c r="G46" s="54">
        <f t="shared" si="13"/>
        <v>3753.1871458333335</v>
      </c>
      <c r="H46" s="54">
        <f t="shared" si="13"/>
        <v>3753.1871458333335</v>
      </c>
      <c r="I46" s="54">
        <f t="shared" si="13"/>
        <v>3753.1871458333335</v>
      </c>
      <c r="J46" s="54">
        <f t="shared" si="13"/>
        <v>3753.1871458333335</v>
      </c>
      <c r="K46" s="54">
        <f t="shared" si="13"/>
        <v>3753.1871458333335</v>
      </c>
      <c r="L46" s="54">
        <f t="shared" si="13"/>
        <v>3753.1871458333335</v>
      </c>
      <c r="M46" s="54">
        <f t="shared" si="13"/>
        <v>3753.1871458333335</v>
      </c>
      <c r="N46" s="54">
        <f t="shared" si="13"/>
        <v>3753.1871458333335</v>
      </c>
      <c r="O46" s="54">
        <f t="shared" si="13"/>
        <v>45058.245749999987</v>
      </c>
      <c r="Q46" s="20"/>
    </row>
    <row r="47" spans="1:17" ht="16.5" thickTop="1">
      <c r="B47" s="11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</row>
    <row r="48" spans="1:17" s="17" customFormat="1" ht="16.5" thickBot="1">
      <c r="A48" s="9" t="s">
        <v>108</v>
      </c>
      <c r="B48" s="55" t="s">
        <v>109</v>
      </c>
      <c r="C48" s="56">
        <f t="shared" ref="C48:N48" si="14">SUM(C18-C46)</f>
        <v>2188.2074041666674</v>
      </c>
      <c r="D48" s="56">
        <f t="shared" si="14"/>
        <v>2188.2074041666674</v>
      </c>
      <c r="E48" s="56">
        <f t="shared" si="14"/>
        <v>2168.2074041666674</v>
      </c>
      <c r="F48" s="56">
        <f t="shared" si="14"/>
        <v>3673.5560416666667</v>
      </c>
      <c r="G48" s="56">
        <f t="shared" si="14"/>
        <v>2188.2074041666674</v>
      </c>
      <c r="H48" s="56">
        <f t="shared" si="14"/>
        <v>2188.2074041666674</v>
      </c>
      <c r="I48" s="56">
        <f t="shared" si="14"/>
        <v>702.85876666666718</v>
      </c>
      <c r="J48" s="56">
        <f t="shared" si="14"/>
        <v>2188.2074041666674</v>
      </c>
      <c r="K48" s="56">
        <f t="shared" si="14"/>
        <v>2188.2074041666674</v>
      </c>
      <c r="L48" s="56">
        <f t="shared" si="14"/>
        <v>3673.5560416666667</v>
      </c>
      <c r="M48" s="56">
        <f t="shared" si="14"/>
        <v>2188.2074041666674</v>
      </c>
      <c r="N48" s="56">
        <f t="shared" si="14"/>
        <v>702.85876666666718</v>
      </c>
      <c r="O48" s="56">
        <f>O26-O46</f>
        <v>37840.988850000023</v>
      </c>
    </row>
    <row r="49" spans="1:15" ht="15.75">
      <c r="B49" s="1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</row>
    <row r="50" spans="1:15" ht="15.75">
      <c r="A50" s="9" t="s">
        <v>60</v>
      </c>
      <c r="B50" s="75" t="s">
        <v>110</v>
      </c>
      <c r="C50" s="76">
        <f>C18-C46</f>
        <v>2188.2074041666674</v>
      </c>
      <c r="D50" s="76">
        <f t="shared" ref="D50:O50" si="15">D18-D46</f>
        <v>2188.2074041666674</v>
      </c>
      <c r="E50" s="76">
        <f t="shared" si="15"/>
        <v>2168.2074041666674</v>
      </c>
      <c r="F50" s="76">
        <f t="shared" si="15"/>
        <v>3673.5560416666667</v>
      </c>
      <c r="G50" s="76">
        <f t="shared" si="15"/>
        <v>2188.2074041666674</v>
      </c>
      <c r="H50" s="76">
        <f t="shared" si="15"/>
        <v>2188.2074041666674</v>
      </c>
      <c r="I50" s="76">
        <f t="shared" si="15"/>
        <v>702.85876666666718</v>
      </c>
      <c r="J50" s="76">
        <f t="shared" si="15"/>
        <v>2188.2074041666674</v>
      </c>
      <c r="K50" s="76">
        <f t="shared" si="15"/>
        <v>2188.2074041666674</v>
      </c>
      <c r="L50" s="76">
        <f t="shared" si="15"/>
        <v>3673.5560416666667</v>
      </c>
      <c r="M50" s="76">
        <f t="shared" si="15"/>
        <v>2188.2074041666674</v>
      </c>
      <c r="N50" s="76">
        <f t="shared" si="15"/>
        <v>702.85876666666718</v>
      </c>
      <c r="O50" s="77">
        <f t="shared" si="15"/>
        <v>26238.488850000023</v>
      </c>
    </row>
    <row r="51" spans="1:15" ht="15.75">
      <c r="B51" s="58" t="s">
        <v>111</v>
      </c>
      <c r="C51" s="59">
        <f t="shared" ref="C51:O51" si="16">C26-C46</f>
        <v>3155.0824041666674</v>
      </c>
      <c r="D51" s="59">
        <f t="shared" si="16"/>
        <v>3155.0824041666674</v>
      </c>
      <c r="E51" s="59">
        <f t="shared" si="16"/>
        <v>3135.0824041666674</v>
      </c>
      <c r="F51" s="59">
        <f t="shared" si="16"/>
        <v>4640.4310416666667</v>
      </c>
      <c r="G51" s="59">
        <f t="shared" si="16"/>
        <v>3155.0824041666674</v>
      </c>
      <c r="H51" s="59">
        <f t="shared" si="16"/>
        <v>3155.0824041666674</v>
      </c>
      <c r="I51" s="59">
        <f t="shared" si="16"/>
        <v>1669.7337666666672</v>
      </c>
      <c r="J51" s="59">
        <f t="shared" si="16"/>
        <v>3155.0824041666674</v>
      </c>
      <c r="K51" s="59">
        <f t="shared" si="16"/>
        <v>3155.0824041666674</v>
      </c>
      <c r="L51" s="59">
        <f t="shared" si="16"/>
        <v>4640.4310416666667</v>
      </c>
      <c r="M51" s="59">
        <f t="shared" si="16"/>
        <v>3155.0824041666674</v>
      </c>
      <c r="N51" s="59">
        <f t="shared" si="16"/>
        <v>1669.7337666666672</v>
      </c>
      <c r="O51" s="60">
        <f t="shared" si="16"/>
        <v>37840.988850000023</v>
      </c>
    </row>
    <row r="52" spans="1:15" ht="15.75">
      <c r="B52" s="11"/>
    </row>
    <row r="53" spans="1:15" ht="15.75">
      <c r="B53" s="11"/>
    </row>
    <row r="54" spans="1:15" ht="15.75">
      <c r="B54" s="11"/>
    </row>
    <row r="55" spans="1:15" ht="15.75">
      <c r="B55" s="11"/>
    </row>
    <row r="56" spans="1:15" ht="15.75">
      <c r="B56" s="11"/>
    </row>
    <row r="57" spans="1:15" ht="15.75">
      <c r="B57" s="11"/>
    </row>
    <row r="58" spans="1:15" ht="15.75">
      <c r="B58" s="11"/>
    </row>
    <row r="59" spans="1:15" ht="15.75">
      <c r="B59" s="11"/>
    </row>
    <row r="60" spans="1:15" ht="15.75">
      <c r="B60" s="11"/>
    </row>
    <row r="61" spans="1:15" ht="15.75">
      <c r="B61" s="11"/>
    </row>
    <row r="62" spans="1:15" ht="15.75">
      <c r="B62" s="11"/>
    </row>
    <row r="63" spans="1:15" ht="15.75">
      <c r="B63" s="11"/>
    </row>
    <row r="64" spans="1:15" ht="15.75">
      <c r="B64" s="11"/>
    </row>
    <row r="65" spans="2:2" ht="15.75">
      <c r="B65" s="11"/>
    </row>
    <row r="66" spans="2:2" ht="15.75">
      <c r="B66" s="11"/>
    </row>
    <row r="67" spans="2:2" ht="15.75">
      <c r="B67" s="11"/>
    </row>
    <row r="68" spans="2:2" ht="15.75">
      <c r="B68" s="11"/>
    </row>
    <row r="69" spans="2:2" ht="15.75">
      <c r="B69" s="11"/>
    </row>
    <row r="70" spans="2:2" ht="15.75">
      <c r="B70" s="11"/>
    </row>
    <row r="71" spans="2:2" ht="15.75">
      <c r="B71" s="11"/>
    </row>
    <row r="72" spans="2:2" ht="15.75">
      <c r="B72" s="11"/>
    </row>
    <row r="73" spans="2:2" ht="15.75">
      <c r="B73" s="11"/>
    </row>
    <row r="74" spans="2:2" ht="15.75">
      <c r="B74" s="11"/>
    </row>
    <row r="75" spans="2:2" ht="15.75">
      <c r="B75" s="11"/>
    </row>
    <row r="76" spans="2:2" ht="15.75">
      <c r="B76" s="11"/>
    </row>
    <row r="77" spans="2:2" ht="15.75">
      <c r="B77" s="11"/>
    </row>
    <row r="78" spans="2:2" ht="15.75">
      <c r="B78" s="11"/>
    </row>
    <row r="79" spans="2:2" ht="15.75">
      <c r="B79" s="11"/>
    </row>
    <row r="80" spans="2:2" ht="15.75">
      <c r="B80" s="11"/>
    </row>
    <row r="81" spans="2:2" ht="15.75">
      <c r="B81" s="11"/>
    </row>
    <row r="82" spans="2:2" ht="15.75">
      <c r="B82" s="11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ABBAF-505C-4E3D-8B0D-014AE2B0DB8E}">
  <sheetPr>
    <tabColor theme="4" tint="0.59999389629810485"/>
  </sheetPr>
  <dimension ref="A1:E46"/>
  <sheetViews>
    <sheetView workbookViewId="0">
      <selection activeCell="A13" sqref="A13:E13"/>
    </sheetView>
  </sheetViews>
  <sheetFormatPr defaultRowHeight="12.75"/>
  <cols>
    <col min="1" max="1" width="48.85546875" bestFit="1" customWidth="1"/>
    <col min="2" max="2" width="13.28515625" style="4" customWidth="1"/>
    <col min="3" max="3" width="3.28515625" customWidth="1"/>
    <col min="4" max="4" width="15.140625" customWidth="1"/>
  </cols>
  <sheetData>
    <row r="1" spans="1:5" s="1" customFormat="1" ht="15.75">
      <c r="A1" s="9" t="s">
        <v>0</v>
      </c>
      <c r="B1" s="3"/>
    </row>
    <row r="2" spans="1:5">
      <c r="A2" s="10" t="s">
        <v>1</v>
      </c>
    </row>
    <row r="3" spans="1:5" s="6" customFormat="1" ht="31.5">
      <c r="A3" s="5"/>
      <c r="B3" s="14" t="s">
        <v>2</v>
      </c>
      <c r="C3" s="5"/>
      <c r="D3" s="15" t="s">
        <v>3</v>
      </c>
    </row>
    <row r="4" spans="1:5" ht="15.75">
      <c r="A4" s="11"/>
    </row>
    <row r="5" spans="1:5" ht="15.75">
      <c r="A5" s="11" t="s">
        <v>4</v>
      </c>
      <c r="B5" s="8">
        <f>20200*0.498</f>
        <v>10059.6</v>
      </c>
      <c r="C5" s="8"/>
      <c r="D5" s="8">
        <v>0</v>
      </c>
      <c r="E5" s="16" t="s">
        <v>5</v>
      </c>
    </row>
    <row r="6" spans="1:5" ht="15.75">
      <c r="A6" s="11" t="s">
        <v>6</v>
      </c>
      <c r="B6" s="8">
        <f>365*0.29</f>
        <v>105.85</v>
      </c>
      <c r="C6" s="8"/>
      <c r="D6" s="8">
        <v>0</v>
      </c>
      <c r="E6" t="s">
        <v>7</v>
      </c>
    </row>
    <row r="7" spans="1:5" ht="15.75">
      <c r="A7" s="11" t="s">
        <v>8</v>
      </c>
      <c r="B7" s="8">
        <f>12*53</f>
        <v>636</v>
      </c>
      <c r="C7" s="8"/>
      <c r="D7" s="8">
        <v>0</v>
      </c>
      <c r="E7" t="s">
        <v>7</v>
      </c>
    </row>
    <row r="8" spans="1:5" ht="15.75">
      <c r="A8" s="11" t="s">
        <v>9</v>
      </c>
      <c r="B8" s="8">
        <f>365*0.21</f>
        <v>76.649999999999991</v>
      </c>
      <c r="C8" s="8"/>
      <c r="D8" s="8">
        <v>0</v>
      </c>
      <c r="E8" t="s">
        <v>7</v>
      </c>
    </row>
    <row r="9" spans="1:5" ht="15.75">
      <c r="A9" s="11" t="s">
        <v>10</v>
      </c>
      <c r="B9" s="8">
        <f>12*60</f>
        <v>720</v>
      </c>
      <c r="C9" s="8"/>
      <c r="D9" s="8">
        <v>0</v>
      </c>
      <c r="E9" t="s">
        <v>7</v>
      </c>
    </row>
    <row r="10" spans="1:5" ht="15.75">
      <c r="A10" s="11" t="s">
        <v>11</v>
      </c>
      <c r="B10" s="8">
        <f>(365*2.3)</f>
        <v>839.49999999999989</v>
      </c>
      <c r="C10" s="8"/>
      <c r="D10" s="8">
        <v>0</v>
      </c>
      <c r="E10" t="s">
        <v>7</v>
      </c>
    </row>
    <row r="11" spans="1:5" ht="15.75">
      <c r="A11" s="11" t="s">
        <v>12</v>
      </c>
      <c r="B11" s="8">
        <v>26000</v>
      </c>
      <c r="C11" s="8"/>
      <c r="D11" s="8">
        <v>26000</v>
      </c>
    </row>
    <row r="12" spans="1:5" ht="15.75">
      <c r="A12" s="11" t="s">
        <v>13</v>
      </c>
      <c r="B12" s="8">
        <v>3600</v>
      </c>
      <c r="C12" s="8"/>
      <c r="D12" s="8">
        <v>3600</v>
      </c>
    </row>
    <row r="13" spans="1:5" ht="15.75">
      <c r="A13" s="11" t="s">
        <v>14</v>
      </c>
      <c r="B13" s="8">
        <v>3000</v>
      </c>
      <c r="C13" s="8"/>
      <c r="D13" s="8">
        <v>3000</v>
      </c>
      <c r="E13" t="s">
        <v>15</v>
      </c>
    </row>
    <row r="14" spans="1:5" ht="15.75">
      <c r="A14" s="11" t="s">
        <v>16</v>
      </c>
      <c r="B14" s="8">
        <v>1000</v>
      </c>
      <c r="C14" s="8"/>
      <c r="D14" s="8">
        <v>1000</v>
      </c>
      <c r="E14" s="33" t="s">
        <v>17</v>
      </c>
    </row>
    <row r="15" spans="1:5" ht="15.75">
      <c r="A15" s="11" t="s">
        <v>18</v>
      </c>
      <c r="B15" s="8"/>
      <c r="C15" s="8"/>
      <c r="D15" s="8">
        <v>600</v>
      </c>
      <c r="E15" s="33" t="s">
        <v>17</v>
      </c>
    </row>
    <row r="16" spans="1:5" ht="15.75">
      <c r="A16" s="11" t="s">
        <v>19</v>
      </c>
      <c r="B16" s="8">
        <v>1000</v>
      </c>
      <c r="C16" s="8"/>
      <c r="D16" s="8">
        <v>1000</v>
      </c>
      <c r="E16" s="33" t="s">
        <v>17</v>
      </c>
    </row>
    <row r="17" spans="1:5" ht="15.75">
      <c r="A17" s="11" t="s">
        <v>20</v>
      </c>
      <c r="B17" s="8"/>
      <c r="C17" s="8"/>
      <c r="D17" s="8">
        <f>12*16</f>
        <v>192</v>
      </c>
      <c r="E17" s="33" t="s">
        <v>17</v>
      </c>
    </row>
    <row r="18" spans="1:5" ht="15.75">
      <c r="A18" s="11"/>
      <c r="B18" s="8"/>
      <c r="C18" s="8"/>
      <c r="D18" s="8"/>
    </row>
    <row r="19" spans="1:5" ht="15.75">
      <c r="A19" s="11"/>
      <c r="B19" s="8"/>
      <c r="C19" s="8"/>
      <c r="D19" s="8"/>
    </row>
    <row r="20" spans="1:5" ht="15.75">
      <c r="A20" s="11"/>
      <c r="B20" s="8"/>
      <c r="C20" s="8"/>
      <c r="D20" s="8"/>
    </row>
    <row r="21" spans="1:5" ht="15.75">
      <c r="A21" s="11"/>
      <c r="B21" s="8"/>
      <c r="C21" s="8"/>
      <c r="D21" s="8"/>
    </row>
    <row r="22" spans="1:5" ht="15.75">
      <c r="A22" s="11"/>
    </row>
    <row r="23" spans="1:5" ht="16.5" thickBot="1">
      <c r="A23" s="12" t="s">
        <v>21</v>
      </c>
      <c r="B23" s="13">
        <f>SUM(B5:B21)</f>
        <v>47037.599999999999</v>
      </c>
      <c r="C23" s="7"/>
      <c r="D23" s="13">
        <f>SUM(D5:D21)</f>
        <v>35392</v>
      </c>
    </row>
    <row r="24" spans="1:5" ht="16.5" thickTop="1">
      <c r="A24" s="11"/>
    </row>
    <row r="25" spans="1:5" ht="15.75">
      <c r="A25" s="11"/>
    </row>
    <row r="26" spans="1:5" ht="15.75">
      <c r="A26" s="11"/>
    </row>
    <row r="27" spans="1:5" ht="15.75">
      <c r="A27" s="11"/>
    </row>
    <row r="28" spans="1:5" ht="15.75">
      <c r="A28" s="11"/>
    </row>
    <row r="29" spans="1:5" ht="15.75">
      <c r="A29" s="11"/>
    </row>
    <row r="30" spans="1:5" ht="15.75">
      <c r="A30" s="11"/>
    </row>
    <row r="31" spans="1:5" ht="15.75">
      <c r="A31" s="11"/>
    </row>
    <row r="32" spans="1:5" ht="15.75">
      <c r="A32" s="11"/>
    </row>
    <row r="33" spans="1:1" ht="15.75">
      <c r="A33" s="11"/>
    </row>
    <row r="34" spans="1:1" ht="15.75">
      <c r="A34" s="11"/>
    </row>
    <row r="35" spans="1:1" ht="15.75">
      <c r="A35" s="11"/>
    </row>
    <row r="36" spans="1:1" ht="15.75">
      <c r="A36" s="11"/>
    </row>
    <row r="37" spans="1:1" ht="15.75">
      <c r="A37" s="11"/>
    </row>
    <row r="38" spans="1:1" ht="15.75">
      <c r="A38" s="11"/>
    </row>
    <row r="39" spans="1:1" ht="15.75">
      <c r="A39" s="2"/>
    </row>
    <row r="40" spans="1:1" ht="15.75">
      <c r="A40" s="2"/>
    </row>
    <row r="41" spans="1:1" ht="15.75">
      <c r="A41" s="2"/>
    </row>
    <row r="42" spans="1:1" ht="15.75">
      <c r="A42" s="2"/>
    </row>
    <row r="43" spans="1:1" ht="15.75">
      <c r="A43" s="2"/>
    </row>
    <row r="44" spans="1:1" ht="15.75">
      <c r="A44" s="2"/>
    </row>
    <row r="45" spans="1:1" ht="15.75">
      <c r="A45" s="2"/>
    </row>
    <row r="46" spans="1:1" ht="15.75">
      <c r="A46" s="2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7CBE1-72A0-4DBD-A3A0-CC2D544BBFF6}">
  <sheetPr>
    <tabColor rgb="FFFF5050"/>
  </sheetPr>
  <dimension ref="A1:I17"/>
  <sheetViews>
    <sheetView workbookViewId="0">
      <selection activeCell="C15" sqref="C15"/>
    </sheetView>
  </sheetViews>
  <sheetFormatPr defaultRowHeight="18.75"/>
  <cols>
    <col min="1" max="1" width="26.5703125" style="30" customWidth="1"/>
    <col min="2" max="2" width="16" style="30" customWidth="1"/>
    <col min="3" max="4" width="20.85546875" style="30" customWidth="1"/>
    <col min="5" max="9" width="21.85546875" style="30" customWidth="1"/>
    <col min="10" max="16384" width="9.140625" style="30"/>
  </cols>
  <sheetData>
    <row r="1" spans="1:9">
      <c r="E1" s="100" t="s">
        <v>22</v>
      </c>
      <c r="F1" s="101"/>
      <c r="G1" s="101"/>
      <c r="H1" s="101"/>
      <c r="I1" s="101"/>
    </row>
    <row r="2" spans="1:9" s="26" customFormat="1" ht="75">
      <c r="A2" s="25" t="s">
        <v>23</v>
      </c>
      <c r="B2" s="25" t="s">
        <v>24</v>
      </c>
      <c r="C2" s="25" t="s">
        <v>25</v>
      </c>
      <c r="D2" s="25" t="s">
        <v>26</v>
      </c>
      <c r="E2" s="25" t="s">
        <v>27</v>
      </c>
      <c r="F2" s="25" t="s">
        <v>28</v>
      </c>
      <c r="G2" s="25" t="s">
        <v>28</v>
      </c>
      <c r="H2" s="25" t="s">
        <v>28</v>
      </c>
      <c r="I2" s="25" t="s">
        <v>28</v>
      </c>
    </row>
    <row r="3" spans="1:9" ht="27" customHeight="1">
      <c r="A3" s="27" t="s">
        <v>29</v>
      </c>
      <c r="B3" s="28">
        <v>40</v>
      </c>
      <c r="C3" s="28">
        <v>20</v>
      </c>
      <c r="D3" s="28">
        <v>12</v>
      </c>
      <c r="E3" s="29">
        <f>(D3*C3)*48</f>
        <v>11520</v>
      </c>
      <c r="F3" s="29">
        <f>(E3*0.05)+E3</f>
        <v>12096</v>
      </c>
      <c r="G3" s="29">
        <f t="shared" ref="G3:I3" si="0">(F3*0.05)+F3</f>
        <v>12700.8</v>
      </c>
      <c r="H3" s="29">
        <f t="shared" si="0"/>
        <v>13335.84</v>
      </c>
      <c r="I3" s="29">
        <f t="shared" si="0"/>
        <v>14002.632</v>
      </c>
    </row>
    <row r="4" spans="1:9" ht="27" customHeight="1">
      <c r="A4" s="27" t="s">
        <v>30</v>
      </c>
      <c r="B4" s="28">
        <v>20</v>
      </c>
      <c r="C4" s="28">
        <v>15</v>
      </c>
      <c r="D4" s="28">
        <v>36</v>
      </c>
      <c r="E4" s="29">
        <f t="shared" ref="E4:E7" si="1">(D4*C4)*48</f>
        <v>25920</v>
      </c>
      <c r="F4" s="29">
        <f t="shared" ref="F4:I4" si="2">(E4*0.05)+E4</f>
        <v>27216</v>
      </c>
      <c r="G4" s="29">
        <f t="shared" si="2"/>
        <v>28576.799999999999</v>
      </c>
      <c r="H4" s="29">
        <f t="shared" si="2"/>
        <v>30005.64</v>
      </c>
      <c r="I4" s="29">
        <f t="shared" si="2"/>
        <v>31505.921999999999</v>
      </c>
    </row>
    <row r="5" spans="1:9" ht="27" customHeight="1">
      <c r="A5" s="27" t="s">
        <v>31</v>
      </c>
      <c r="B5" s="28">
        <v>3</v>
      </c>
      <c r="C5" s="28">
        <v>8</v>
      </c>
      <c r="D5" s="28">
        <v>20</v>
      </c>
      <c r="E5" s="29">
        <f t="shared" si="1"/>
        <v>7680</v>
      </c>
      <c r="F5" s="29">
        <f t="shared" ref="F5:I5" si="3">(E5*0.05)+E5</f>
        <v>8064</v>
      </c>
      <c r="G5" s="29">
        <f t="shared" si="3"/>
        <v>8467.2000000000007</v>
      </c>
      <c r="H5" s="29">
        <f t="shared" si="3"/>
        <v>8890.5600000000013</v>
      </c>
      <c r="I5" s="29">
        <f t="shared" si="3"/>
        <v>9335.0880000000016</v>
      </c>
    </row>
    <row r="6" spans="1:9" ht="27" customHeight="1">
      <c r="A6" s="27" t="s">
        <v>32</v>
      </c>
      <c r="B6" s="28">
        <v>8</v>
      </c>
      <c r="C6" s="28">
        <v>12</v>
      </c>
      <c r="D6" s="28">
        <v>20</v>
      </c>
      <c r="E6" s="29">
        <f t="shared" si="1"/>
        <v>11520</v>
      </c>
      <c r="F6" s="29">
        <f t="shared" ref="F6:I6" si="4">(E6*0.05)+E6</f>
        <v>12096</v>
      </c>
      <c r="G6" s="29">
        <f t="shared" si="4"/>
        <v>12700.8</v>
      </c>
      <c r="H6" s="29">
        <f t="shared" si="4"/>
        <v>13335.84</v>
      </c>
      <c r="I6" s="29">
        <f t="shared" si="4"/>
        <v>14002.632</v>
      </c>
    </row>
    <row r="7" spans="1:9" ht="27" customHeight="1">
      <c r="A7" s="27" t="s">
        <v>33</v>
      </c>
      <c r="B7" s="28" t="s">
        <v>34</v>
      </c>
      <c r="C7" s="28">
        <v>0.25</v>
      </c>
      <c r="D7" s="28">
        <v>168</v>
      </c>
      <c r="E7" s="29">
        <f t="shared" si="1"/>
        <v>2016</v>
      </c>
      <c r="F7" s="29">
        <f t="shared" ref="F7:I7" si="5">(E7*0.05)+E7</f>
        <v>2116.8000000000002</v>
      </c>
      <c r="G7" s="29">
        <f t="shared" si="5"/>
        <v>2222.6400000000003</v>
      </c>
      <c r="H7" s="29">
        <f t="shared" si="5"/>
        <v>2333.7720000000004</v>
      </c>
      <c r="I7" s="29">
        <f t="shared" si="5"/>
        <v>2450.4606000000003</v>
      </c>
    </row>
    <row r="9" spans="1:9" ht="19.5" thickBot="1">
      <c r="E9" s="32">
        <f>SUM(E3:E8)</f>
        <v>58656</v>
      </c>
      <c r="F9" s="32">
        <f t="shared" ref="F9:I9" si="6">SUM(F3:F8)</f>
        <v>61588.800000000003</v>
      </c>
      <c r="G9" s="32">
        <f t="shared" si="6"/>
        <v>64668.240000000005</v>
      </c>
      <c r="H9" s="32">
        <f t="shared" si="6"/>
        <v>67901.651999999987</v>
      </c>
      <c r="I9" s="32">
        <f t="shared" si="6"/>
        <v>71296.734600000011</v>
      </c>
    </row>
    <row r="10" spans="1:9" ht="19.5" thickTop="1"/>
    <row r="17" spans="6:6">
      <c r="F17" s="31"/>
    </row>
  </sheetData>
  <mergeCells count="1">
    <mergeCell ref="E1:I1"/>
  </mergeCells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D6CA7-1792-42CB-95AF-8AD9C483F250}">
  <dimension ref="A1:C27"/>
  <sheetViews>
    <sheetView workbookViewId="0">
      <selection activeCell="C16" sqref="C16:C17"/>
    </sheetView>
  </sheetViews>
  <sheetFormatPr defaultRowHeight="15"/>
  <cols>
    <col min="1" max="1" width="63.5703125" style="65" customWidth="1"/>
    <col min="2" max="2" width="14.42578125" style="68" customWidth="1"/>
    <col min="3" max="16384" width="9.140625" style="65"/>
  </cols>
  <sheetData>
    <row r="1" spans="1:3" s="1" customFormat="1" ht="15.75">
      <c r="A1" s="1" t="s">
        <v>35</v>
      </c>
      <c r="B1" s="70"/>
    </row>
    <row r="2" spans="1:3">
      <c r="B2" s="72" t="s">
        <v>36</v>
      </c>
    </row>
    <row r="3" spans="1:3">
      <c r="A3" s="69" t="s">
        <v>37</v>
      </c>
    </row>
    <row r="4" spans="1:3">
      <c r="A4" s="66" t="s">
        <v>38</v>
      </c>
      <c r="B4" s="68">
        <v>1000</v>
      </c>
    </row>
    <row r="5" spans="1:3">
      <c r="A5" s="66"/>
    </row>
    <row r="6" spans="1:3">
      <c r="A6" s="66"/>
    </row>
    <row r="7" spans="1:3">
      <c r="A7" s="66"/>
      <c r="B7" s="73">
        <f>SUM(B4:B5)</f>
        <v>1000</v>
      </c>
    </row>
    <row r="8" spans="1:3">
      <c r="A8" s="66"/>
    </row>
    <row r="9" spans="1:3">
      <c r="A9" s="69" t="s">
        <v>39</v>
      </c>
    </row>
    <row r="10" spans="1:3">
      <c r="A10" s="66"/>
    </row>
    <row r="11" spans="1:3">
      <c r="A11" s="66"/>
    </row>
    <row r="12" spans="1:3">
      <c r="A12" s="66"/>
    </row>
    <row r="13" spans="1:3">
      <c r="A13" s="36" t="s">
        <v>40</v>
      </c>
      <c r="B13" s="73">
        <f>SUM(B10:B11)</f>
        <v>0</v>
      </c>
    </row>
    <row r="14" spans="1:3">
      <c r="A14" s="66"/>
    </row>
    <row r="15" spans="1:3">
      <c r="A15" s="69" t="s">
        <v>41</v>
      </c>
    </row>
    <row r="16" spans="1:3">
      <c r="A16" s="66" t="s">
        <v>42</v>
      </c>
      <c r="B16" s="68">
        <v>500</v>
      </c>
      <c r="C16" s="65" t="s">
        <v>17</v>
      </c>
    </row>
    <row r="17" spans="1:3">
      <c r="A17" s="66" t="s">
        <v>43</v>
      </c>
      <c r="B17" s="68">
        <v>10000</v>
      </c>
      <c r="C17" s="65" t="s">
        <v>17</v>
      </c>
    </row>
    <row r="18" spans="1:3">
      <c r="A18" s="66"/>
    </row>
    <row r="19" spans="1:3">
      <c r="A19" s="36" t="s">
        <v>44</v>
      </c>
      <c r="B19" s="73">
        <f>SUM(B16:B17)</f>
        <v>10500</v>
      </c>
    </row>
    <row r="20" spans="1:3">
      <c r="A20" s="36"/>
    </row>
    <row r="21" spans="1:3">
      <c r="A21" s="69" t="s">
        <v>45</v>
      </c>
    </row>
    <row r="22" spans="1:3">
      <c r="A22" s="65" t="s">
        <v>46</v>
      </c>
      <c r="C22" s="67" t="s">
        <v>47</v>
      </c>
    </row>
    <row r="26" spans="1:3" ht="15.75" thickBot="1">
      <c r="A26" s="71" t="s">
        <v>48</v>
      </c>
      <c r="B26" s="74">
        <f>B19+B7+B13</f>
        <v>11500</v>
      </c>
    </row>
    <row r="27" spans="1:3" ht="15.75" thickTop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C701C-BEC7-4FBB-8F23-4E8DF8BDA25D}">
  <sheetPr>
    <tabColor rgb="FF00B050"/>
  </sheetPr>
  <dimension ref="A1:F16"/>
  <sheetViews>
    <sheetView tabSelected="1" workbookViewId="0">
      <selection activeCell="R12" sqref="R12"/>
    </sheetView>
  </sheetViews>
  <sheetFormatPr defaultColWidth="8.85546875" defaultRowHeight="15.75"/>
  <cols>
    <col min="1" max="1" width="28.85546875" style="2" customWidth="1"/>
    <col min="2" max="6" width="13.28515625" style="2" customWidth="1"/>
    <col min="7" max="16384" width="8.85546875" style="2"/>
  </cols>
  <sheetData>
    <row r="1" spans="1:6" ht="18.75">
      <c r="A1" s="99" t="s">
        <v>49</v>
      </c>
      <c r="B1" s="11"/>
      <c r="C1" s="11"/>
      <c r="D1" s="11"/>
      <c r="E1" s="11"/>
      <c r="F1" s="11"/>
    </row>
    <row r="2" spans="1:6">
      <c r="A2" s="11"/>
      <c r="B2" s="84" t="s">
        <v>27</v>
      </c>
      <c r="C2" s="84" t="s">
        <v>50</v>
      </c>
      <c r="D2" s="84" t="s">
        <v>51</v>
      </c>
      <c r="E2" s="84" t="s">
        <v>52</v>
      </c>
      <c r="F2" s="84" t="s">
        <v>53</v>
      </c>
    </row>
    <row r="3" spans="1:6">
      <c r="A3" s="11"/>
      <c r="B3" s="11"/>
      <c r="C3" s="11"/>
      <c r="D3" s="11"/>
      <c r="E3" s="11"/>
      <c r="F3" s="11"/>
    </row>
    <row r="4" spans="1:6">
      <c r="A4" s="57" t="s">
        <v>54</v>
      </c>
      <c r="B4" s="85">
        <f>'Cash Flow Y1 Jan to Dec 2026'!O11</f>
        <v>58656</v>
      </c>
      <c r="C4" s="85">
        <f>'Cash Flow Y2 Jan to Dec 2027'!O18</f>
        <v>61588.800000000003</v>
      </c>
      <c r="D4" s="85">
        <f>'Cash Flow Y3 Jan to Dec 2028'!O18</f>
        <v>64668.240000000005</v>
      </c>
      <c r="E4" s="85">
        <f>'Cash Flow Y4 Jan to Dec 2029'!O18</f>
        <v>67901.652000000002</v>
      </c>
      <c r="F4" s="85">
        <f>'Cash Flow Y5 Jan to Dec 2030'!O18</f>
        <v>71296.734600000011</v>
      </c>
    </row>
    <row r="5" spans="1:6">
      <c r="A5" s="58" t="s">
        <v>55</v>
      </c>
      <c r="B5" s="86">
        <f>'Cash Flow Y1 Jan to Dec 2026'!O24</f>
        <v>11500</v>
      </c>
      <c r="C5" s="86">
        <f>'Cash Flow Y2 Jan to Dec 2027'!O24</f>
        <v>11500</v>
      </c>
      <c r="D5" s="86">
        <f>'Cash Flow Y3 Jan to Dec 2028'!O24</f>
        <v>11500</v>
      </c>
      <c r="E5" s="86">
        <f>'Cash Flow Y4 Jan to Dec 2029'!O24</f>
        <v>11550</v>
      </c>
      <c r="F5" s="86">
        <f>'Cash Flow Y5 Jan to Dec 2030'!O24</f>
        <v>11602.5</v>
      </c>
    </row>
    <row r="6" spans="1:6">
      <c r="A6" s="11" t="s">
        <v>56</v>
      </c>
      <c r="B6" s="87">
        <f>B4/(B4+B5)</f>
        <v>0.83607959404755117</v>
      </c>
      <c r="C6" s="87">
        <f>C4/(C4+C5)</f>
        <v>0.84265715130088337</v>
      </c>
      <c r="D6" s="87">
        <f t="shared" ref="D6:F6" si="0">D4/(D4+D5)</f>
        <v>0.84901843603055549</v>
      </c>
      <c r="E6" s="87">
        <f t="shared" si="0"/>
        <v>0.85462857336182263</v>
      </c>
      <c r="F6" s="87">
        <f>F4/(F4+F5)</f>
        <v>0.86004092732600457</v>
      </c>
    </row>
    <row r="7" spans="1:6">
      <c r="A7" s="11"/>
      <c r="B7" s="88"/>
      <c r="C7" s="88"/>
      <c r="D7" s="88"/>
      <c r="E7" s="88"/>
      <c r="F7" s="88"/>
    </row>
    <row r="8" spans="1:6" ht="16.5" thickBot="1">
      <c r="A8" s="34" t="s">
        <v>57</v>
      </c>
      <c r="B8" s="89">
        <f>SUM(B4:B5)</f>
        <v>70156</v>
      </c>
      <c r="C8" s="89">
        <f t="shared" ref="C8:F8" si="1">SUM(C4:C5)</f>
        <v>73088.800000000003</v>
      </c>
      <c r="D8" s="89">
        <f t="shared" si="1"/>
        <v>76168.240000000005</v>
      </c>
      <c r="E8" s="89">
        <f t="shared" si="1"/>
        <v>79451.652000000002</v>
      </c>
      <c r="F8" s="89">
        <f t="shared" si="1"/>
        <v>82899.234600000011</v>
      </c>
    </row>
    <row r="9" spans="1:6" ht="16.5" thickTop="1">
      <c r="A9" s="9"/>
      <c r="B9" s="88"/>
      <c r="C9" s="88"/>
      <c r="D9" s="88"/>
      <c r="E9" s="88"/>
      <c r="F9" s="88"/>
    </row>
    <row r="10" spans="1:6" ht="16.5" thickBot="1">
      <c r="A10" s="90" t="s">
        <v>58</v>
      </c>
      <c r="B10" s="91">
        <f>'Cash Flow Y1 Jan to Dec 2026'!O46</f>
        <v>37672</v>
      </c>
      <c r="C10" s="91">
        <f>'Cash Flow Y2 Jan to Dec 2027'!O46</f>
        <v>39046</v>
      </c>
      <c r="D10" s="91">
        <f>'Cash Flow Y3 Jan to Dec 2028'!O46</f>
        <v>40986.299999999996</v>
      </c>
      <c r="E10" s="91">
        <f>'Cash Flow Y4 Jan to Dec 2029'!O46</f>
        <v>42972.615000000005</v>
      </c>
      <c r="F10" s="91">
        <f>'Cash Flow Y5 Jan to Dec 2030'!O46</f>
        <v>45058.245749999987</v>
      </c>
    </row>
    <row r="11" spans="1:6" ht="16.5" thickTop="1">
      <c r="A11" s="9"/>
      <c r="B11" s="88"/>
      <c r="C11" s="88"/>
      <c r="D11" s="88"/>
      <c r="E11" s="88"/>
      <c r="F11" s="88"/>
    </row>
    <row r="12" spans="1:6" ht="16.5" thickBot="1">
      <c r="A12" s="92" t="s">
        <v>59</v>
      </c>
      <c r="B12" s="93">
        <f>B8-B10</f>
        <v>32484</v>
      </c>
      <c r="C12" s="93">
        <f>C8-C10</f>
        <v>34042.800000000003</v>
      </c>
      <c r="D12" s="93">
        <f t="shared" ref="D12:F12" si="2">D8-D10</f>
        <v>35181.94000000001</v>
      </c>
      <c r="E12" s="93">
        <f t="shared" si="2"/>
        <v>36479.036999999997</v>
      </c>
      <c r="F12" s="93">
        <f t="shared" si="2"/>
        <v>37840.988850000023</v>
      </c>
    </row>
    <row r="13" spans="1:6" ht="16.5" thickTop="1">
      <c r="A13" s="11"/>
      <c r="B13" s="11"/>
      <c r="C13" s="11"/>
      <c r="D13" s="11"/>
      <c r="E13" s="11"/>
      <c r="F13" s="11"/>
    </row>
    <row r="14" spans="1:6">
      <c r="A14" s="94" t="s">
        <v>60</v>
      </c>
      <c r="B14" s="95"/>
      <c r="C14" s="95"/>
      <c r="D14" s="95"/>
      <c r="E14" s="95"/>
      <c r="F14" s="95"/>
    </row>
    <row r="15" spans="1:6">
      <c r="A15" s="96" t="s">
        <v>61</v>
      </c>
      <c r="B15" s="97">
        <f>'Cash Flow Y1 Jan to Dec 2026'!O50</f>
        <v>20984</v>
      </c>
      <c r="C15" s="97">
        <f>'Cash Flow Y2 Jan to Dec 2027'!O50</f>
        <v>22542.800000000003</v>
      </c>
      <c r="D15" s="97">
        <f>'Cash Flow Y3 Jan to Dec 2028'!O50</f>
        <v>23681.94000000001</v>
      </c>
      <c r="E15" s="97">
        <f>'Cash Flow Y4 Jan to Dec 2029'!O50</f>
        <v>24929.036999999997</v>
      </c>
      <c r="F15" s="97">
        <f>'Cash Flow Y5 Jan to Dec 2030'!O50</f>
        <v>26238.488850000023</v>
      </c>
    </row>
    <row r="16" spans="1:6">
      <c r="A16" s="58" t="s">
        <v>62</v>
      </c>
      <c r="B16" s="98">
        <f>'Cash Flow Y1 Jan to Dec 2026'!O51</f>
        <v>32484</v>
      </c>
      <c r="C16" s="98">
        <f>'Cash Flow Y2 Jan to Dec 2027'!O51</f>
        <v>34042.800000000003</v>
      </c>
      <c r="D16" s="98">
        <f>'Cash Flow Y3 Jan to Dec 2028'!O51</f>
        <v>35181.94000000001</v>
      </c>
      <c r="E16" s="98">
        <f>'Cash Flow Y4 Jan to Dec 2029'!O51</f>
        <v>36479.036999999997</v>
      </c>
      <c r="F16" s="98">
        <f>'Cash Flow Y5 Jan to Dec 2030'!O51</f>
        <v>37840.988850000023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CA312-069A-47A0-9126-57C86689FE4C}">
  <sheetPr>
    <tabColor theme="9" tint="0.79998168889431442"/>
  </sheetPr>
  <dimension ref="A1:Q82"/>
  <sheetViews>
    <sheetView zoomScale="70" zoomScaleNormal="70" workbookViewId="0">
      <pane ySplit="2" topLeftCell="A18" activePane="bottomLeft" state="frozen"/>
      <selection pane="bottomLeft" activeCell="B40" sqref="B40"/>
    </sheetView>
  </sheetViews>
  <sheetFormatPr defaultColWidth="8.85546875" defaultRowHeight="12.75"/>
  <cols>
    <col min="1" max="1" width="21.42578125" style="10" customWidth="1"/>
    <col min="2" max="2" width="48.42578125" style="10" customWidth="1"/>
    <col min="3" max="3" width="12.42578125" style="10" customWidth="1"/>
    <col min="4" max="4" width="11.140625" style="10" bestFit="1" customWidth="1"/>
    <col min="5" max="5" width="11" style="10" customWidth="1"/>
    <col min="6" max="14" width="11.140625" style="10" bestFit="1" customWidth="1"/>
    <col min="15" max="15" width="12.7109375" style="10" bestFit="1" customWidth="1"/>
    <col min="16" max="16" width="10.140625" bestFit="1" customWidth="1"/>
    <col min="17" max="17" width="11.140625" bestFit="1" customWidth="1"/>
  </cols>
  <sheetData>
    <row r="1" spans="1:17" s="80" customFormat="1" ht="42.75" customHeight="1">
      <c r="A1" s="78" t="s">
        <v>63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7" ht="15.75">
      <c r="A2" s="9" t="s">
        <v>64</v>
      </c>
      <c r="C2" s="61" t="s">
        <v>65</v>
      </c>
      <c r="D2" s="61" t="s">
        <v>66</v>
      </c>
      <c r="E2" s="61" t="s">
        <v>67</v>
      </c>
      <c r="F2" s="61" t="s">
        <v>68</v>
      </c>
      <c r="G2" s="61" t="s">
        <v>69</v>
      </c>
      <c r="H2" s="61" t="s">
        <v>70</v>
      </c>
      <c r="I2" s="61" t="s">
        <v>71</v>
      </c>
      <c r="J2" s="61" t="s">
        <v>72</v>
      </c>
      <c r="K2" s="61" t="s">
        <v>73</v>
      </c>
      <c r="L2" s="61" t="s">
        <v>74</v>
      </c>
      <c r="M2" s="61" t="s">
        <v>75</v>
      </c>
      <c r="N2" s="61" t="s">
        <v>76</v>
      </c>
      <c r="O2" s="62" t="s">
        <v>77</v>
      </c>
    </row>
    <row r="3" spans="1:17" ht="15">
      <c r="O3" s="36"/>
    </row>
    <row r="4" spans="1:17" ht="15.75">
      <c r="A4" s="36" t="s">
        <v>78</v>
      </c>
      <c r="B4" s="83" t="s">
        <v>79</v>
      </c>
      <c r="C4" s="81">
        <f>income!$C$3*income!$D$3</f>
        <v>240</v>
      </c>
      <c r="D4" s="81">
        <f>income!$C$3*income!$D$3</f>
        <v>240</v>
      </c>
      <c r="E4" s="81">
        <f>income!$C$3*income!$D$3</f>
        <v>240</v>
      </c>
      <c r="F4" s="81">
        <f>income!$C$3*income!$D$3</f>
        <v>240</v>
      </c>
      <c r="G4" s="81">
        <f>income!$C$3*income!$D$3</f>
        <v>240</v>
      </c>
      <c r="H4" s="81">
        <f>income!$C$3*income!$D$3</f>
        <v>240</v>
      </c>
      <c r="I4" s="81">
        <f>income!$C$3*income!$D$3</f>
        <v>240</v>
      </c>
      <c r="J4" s="81">
        <f>income!$C$3*income!$D$3</f>
        <v>240</v>
      </c>
      <c r="K4" s="81">
        <f>income!$C$3*income!$D$3</f>
        <v>240</v>
      </c>
      <c r="L4" s="81">
        <f>income!$C$3*income!$D$3</f>
        <v>240</v>
      </c>
      <c r="M4" s="81">
        <f>income!$C$3*income!$D$3</f>
        <v>240</v>
      </c>
      <c r="N4" s="81">
        <f>income!$C$3*income!$D$3</f>
        <v>240</v>
      </c>
      <c r="O4" s="82">
        <f t="shared" ref="O4:O20" si="0">SUM(C4:N4)</f>
        <v>2880</v>
      </c>
      <c r="P4" s="18"/>
    </row>
    <row r="5" spans="1:17" ht="15">
      <c r="A5" s="36"/>
      <c r="B5" s="40" t="s">
        <v>80</v>
      </c>
      <c r="C5" s="38">
        <v>4</v>
      </c>
      <c r="D5" s="38">
        <v>4</v>
      </c>
      <c r="E5" s="38">
        <v>4</v>
      </c>
      <c r="F5" s="38">
        <v>5</v>
      </c>
      <c r="G5" s="38">
        <v>4</v>
      </c>
      <c r="H5" s="38">
        <v>4</v>
      </c>
      <c r="I5" s="38">
        <v>3</v>
      </c>
      <c r="J5" s="38">
        <v>4</v>
      </c>
      <c r="K5" s="38">
        <v>4</v>
      </c>
      <c r="L5" s="38">
        <v>5</v>
      </c>
      <c r="M5" s="38">
        <v>4</v>
      </c>
      <c r="N5" s="38">
        <v>3</v>
      </c>
      <c r="O5" s="39"/>
      <c r="Q5" s="20"/>
    </row>
    <row r="6" spans="1:17" ht="15.75">
      <c r="A6" s="36"/>
      <c r="B6" s="37" t="s">
        <v>81</v>
      </c>
      <c r="C6" s="63">
        <f>C4*C5</f>
        <v>960</v>
      </c>
      <c r="D6" s="63">
        <f t="shared" ref="D6:N6" si="1">D4*D5</f>
        <v>960</v>
      </c>
      <c r="E6" s="63">
        <f t="shared" si="1"/>
        <v>960</v>
      </c>
      <c r="F6" s="63">
        <f t="shared" si="1"/>
        <v>1200</v>
      </c>
      <c r="G6" s="63">
        <f t="shared" si="1"/>
        <v>960</v>
      </c>
      <c r="H6" s="63">
        <f t="shared" si="1"/>
        <v>960</v>
      </c>
      <c r="I6" s="63">
        <f t="shared" si="1"/>
        <v>720</v>
      </c>
      <c r="J6" s="63">
        <f t="shared" si="1"/>
        <v>960</v>
      </c>
      <c r="K6" s="63">
        <f t="shared" si="1"/>
        <v>960</v>
      </c>
      <c r="L6" s="63">
        <f t="shared" si="1"/>
        <v>1200</v>
      </c>
      <c r="M6" s="63">
        <f t="shared" si="1"/>
        <v>960</v>
      </c>
      <c r="N6" s="63">
        <f t="shared" si="1"/>
        <v>720</v>
      </c>
      <c r="O6" s="39">
        <f>SUM(C6:N6)</f>
        <v>11520</v>
      </c>
      <c r="Q6" s="20"/>
    </row>
    <row r="7" spans="1:17" ht="15.75">
      <c r="A7" s="36"/>
      <c r="B7" s="37" t="s">
        <v>82</v>
      </c>
      <c r="C7" s="63">
        <f>(income!$C$4*income!$D$4)*C5</f>
        <v>2160</v>
      </c>
      <c r="D7" s="63">
        <f>(income!$C$4*income!$D$4)*D5</f>
        <v>2160</v>
      </c>
      <c r="E7" s="63">
        <f>(income!$C$4*income!$D$4)*E5</f>
        <v>2160</v>
      </c>
      <c r="F7" s="63">
        <f>(income!$C$4*income!$D$4)*F5</f>
        <v>2700</v>
      </c>
      <c r="G7" s="63">
        <f>(income!$C$4*income!$D$4)*G5</f>
        <v>2160</v>
      </c>
      <c r="H7" s="63">
        <f>(income!$C$4*income!$D$4)*H5</f>
        <v>2160</v>
      </c>
      <c r="I7" s="63">
        <f>(income!$C$4*income!$D$4)*I5</f>
        <v>1620</v>
      </c>
      <c r="J7" s="63">
        <f>(income!$C$4*income!$D$4)*J5</f>
        <v>2160</v>
      </c>
      <c r="K7" s="63">
        <f>(income!$C$4*income!$D$4)*K5</f>
        <v>2160</v>
      </c>
      <c r="L7" s="63">
        <f>(income!$C$4*income!$D$4)*L5</f>
        <v>2700</v>
      </c>
      <c r="M7" s="63">
        <f>(income!$C$4*income!$D$4)*M5</f>
        <v>2160</v>
      </c>
      <c r="N7" s="63">
        <f>(income!$C$4*income!$D$4)*N5</f>
        <v>1620</v>
      </c>
      <c r="O7" s="39">
        <f t="shared" ref="O7:O8" si="2">SUM(C7:N7)</f>
        <v>25920</v>
      </c>
      <c r="Q7" s="20"/>
    </row>
    <row r="8" spans="1:17" ht="15.75">
      <c r="A8" s="36"/>
      <c r="B8" s="37" t="s">
        <v>83</v>
      </c>
      <c r="C8" s="63">
        <f>(income!$C$5*income!$D$5)*C5</f>
        <v>640</v>
      </c>
      <c r="D8" s="63">
        <f>(income!$C$5*income!$D$5)*D5</f>
        <v>640</v>
      </c>
      <c r="E8" s="63">
        <f>(income!$C$5*income!$D$5)*E5</f>
        <v>640</v>
      </c>
      <c r="F8" s="63">
        <f>(income!$C$5*income!$D$5)*F5</f>
        <v>800</v>
      </c>
      <c r="G8" s="63">
        <f>(income!$C$5*income!$D$5)*G5</f>
        <v>640</v>
      </c>
      <c r="H8" s="63">
        <f>(income!$C$5*income!$D$5)*H5</f>
        <v>640</v>
      </c>
      <c r="I8" s="63">
        <f>(income!$C$5*income!$D$5)*I5</f>
        <v>480</v>
      </c>
      <c r="J8" s="63">
        <f>(income!$C$5*income!$D$5)*J5</f>
        <v>640</v>
      </c>
      <c r="K8" s="63">
        <f>(income!$C$5*income!$D$5)*K5</f>
        <v>640</v>
      </c>
      <c r="L8" s="63">
        <f>(income!$C$5*income!$D$5)*L5</f>
        <v>800</v>
      </c>
      <c r="M8" s="63">
        <f>(income!$C$5*income!$D$5)*M5</f>
        <v>640</v>
      </c>
      <c r="N8" s="63">
        <f>(income!$C$5*income!$D$5)*N5</f>
        <v>480</v>
      </c>
      <c r="O8" s="39">
        <f t="shared" si="2"/>
        <v>7680</v>
      </c>
      <c r="Q8" s="20"/>
    </row>
    <row r="9" spans="1:17" ht="15.75">
      <c r="A9" s="36"/>
      <c r="B9" s="37" t="s">
        <v>84</v>
      </c>
      <c r="C9" s="63">
        <f>(income!$C$6*income!$D$6)*C5</f>
        <v>960</v>
      </c>
      <c r="D9" s="63">
        <f>(income!$C$6*income!$D$6)*D5</f>
        <v>960</v>
      </c>
      <c r="E9" s="63">
        <f>(income!$C$6*income!$D$6)*E5</f>
        <v>960</v>
      </c>
      <c r="F9" s="63">
        <f>(income!$C$6*income!$D$6)*F5</f>
        <v>1200</v>
      </c>
      <c r="G9" s="63">
        <f>(income!$C$6*income!$D$6)*G5</f>
        <v>960</v>
      </c>
      <c r="H9" s="63">
        <f>(income!$C$6*income!$D$6)*H5</f>
        <v>960</v>
      </c>
      <c r="I9" s="63">
        <f>(income!$C$6*income!$D$6)*I5</f>
        <v>720</v>
      </c>
      <c r="J9" s="63">
        <f>(income!$C$6*income!$D$6)*J5</f>
        <v>960</v>
      </c>
      <c r="K9" s="63">
        <f>(income!$C$6*income!$D$6)*K5</f>
        <v>960</v>
      </c>
      <c r="L9" s="63">
        <f>(income!$C$6*income!$D$6)*L5</f>
        <v>1200</v>
      </c>
      <c r="M9" s="63">
        <f>(income!$C$6*income!$D$6)*M5</f>
        <v>960</v>
      </c>
      <c r="N9" s="63">
        <f>(income!$C$6*income!$D$6)*N5</f>
        <v>720</v>
      </c>
      <c r="O9" s="39">
        <f>SUM(C9:N9)</f>
        <v>11520</v>
      </c>
      <c r="P9" s="19"/>
      <c r="Q9" s="20"/>
    </row>
    <row r="10" spans="1:17" ht="15.75">
      <c r="A10" s="36"/>
      <c r="B10" s="37" t="s">
        <v>85</v>
      </c>
      <c r="C10" s="63">
        <f>(income!$C$7*income!$D$7)*C5</f>
        <v>168</v>
      </c>
      <c r="D10" s="63">
        <f>(income!$C$7*income!$D$7)*D5</f>
        <v>168</v>
      </c>
      <c r="E10" s="63">
        <f>(income!$C$7*income!$D$7)*E5</f>
        <v>168</v>
      </c>
      <c r="F10" s="63">
        <f>(income!$C$7*income!$D$7)*F5</f>
        <v>210</v>
      </c>
      <c r="G10" s="63">
        <f>(income!$C$7*income!$D$7)*G5</f>
        <v>168</v>
      </c>
      <c r="H10" s="63">
        <f>(income!$C$7*income!$D$7)*H5</f>
        <v>168</v>
      </c>
      <c r="I10" s="63">
        <f>(income!$C$7*income!$D$7)*I5</f>
        <v>126</v>
      </c>
      <c r="J10" s="63">
        <f>(income!$C$7*income!$D$7)*J5</f>
        <v>168</v>
      </c>
      <c r="K10" s="63">
        <f>(income!$C$7*income!$D$7)*K5</f>
        <v>168</v>
      </c>
      <c r="L10" s="63">
        <f>(income!$C$7*income!$D$7)*L5</f>
        <v>210</v>
      </c>
      <c r="M10" s="63">
        <f>(income!$C$7*income!$D$7)*M5</f>
        <v>168</v>
      </c>
      <c r="N10" s="63">
        <f>(income!$C$7*income!$D$7)*N5</f>
        <v>126</v>
      </c>
      <c r="O10" s="39">
        <f>SUM(C10:N10)</f>
        <v>2016</v>
      </c>
      <c r="P10" s="19"/>
      <c r="Q10" s="20"/>
    </row>
    <row r="11" spans="1:17" ht="16.5" thickBot="1">
      <c r="A11" s="36"/>
      <c r="B11" s="41" t="s">
        <v>86</v>
      </c>
      <c r="C11" s="64">
        <f>SUM(C6:C10)</f>
        <v>4888</v>
      </c>
      <c r="D11" s="64">
        <f t="shared" ref="D11:N11" si="3">SUM(D6:D10)</f>
        <v>4888</v>
      </c>
      <c r="E11" s="64">
        <f t="shared" si="3"/>
        <v>4888</v>
      </c>
      <c r="F11" s="64">
        <f t="shared" si="3"/>
        <v>6110</v>
      </c>
      <c r="G11" s="64">
        <f t="shared" si="3"/>
        <v>4888</v>
      </c>
      <c r="H11" s="64">
        <f t="shared" si="3"/>
        <v>4888</v>
      </c>
      <c r="I11" s="64">
        <f t="shared" si="3"/>
        <v>3666</v>
      </c>
      <c r="J11" s="64">
        <f t="shared" si="3"/>
        <v>4888</v>
      </c>
      <c r="K11" s="64">
        <f t="shared" si="3"/>
        <v>4888</v>
      </c>
      <c r="L11" s="64">
        <f t="shared" si="3"/>
        <v>6110</v>
      </c>
      <c r="M11" s="64">
        <f t="shared" si="3"/>
        <v>4888</v>
      </c>
      <c r="N11" s="64">
        <f t="shared" si="3"/>
        <v>3666</v>
      </c>
      <c r="O11" s="43">
        <f>SUM(O6:O10)</f>
        <v>58656</v>
      </c>
      <c r="Q11" s="20"/>
    </row>
    <row r="12" spans="1:17" ht="15">
      <c r="A12" s="36"/>
      <c r="B12" s="40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9"/>
      <c r="Q12" s="20"/>
    </row>
    <row r="13" spans="1:17" ht="15.75">
      <c r="B13" s="11" t="s">
        <v>87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9">
        <f t="shared" si="0"/>
        <v>0</v>
      </c>
    </row>
    <row r="14" spans="1:17" ht="15.75">
      <c r="A14" s="36"/>
      <c r="B14" s="11" t="s">
        <v>87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9">
        <f t="shared" si="0"/>
        <v>0</v>
      </c>
    </row>
    <row r="15" spans="1:17" ht="15.75">
      <c r="A15" s="36"/>
      <c r="B15" s="44" t="s">
        <v>87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>
        <f t="shared" si="0"/>
        <v>0</v>
      </c>
    </row>
    <row r="16" spans="1:17" ht="16.5" thickBot="1">
      <c r="B16" s="45" t="s">
        <v>88</v>
      </c>
      <c r="C16" s="42">
        <f>SUM(C13:C15)</f>
        <v>0</v>
      </c>
      <c r="D16" s="42">
        <f t="shared" ref="D16:O16" si="4">SUM(D13:D15)</f>
        <v>0</v>
      </c>
      <c r="E16" s="42">
        <f>SUM(E13:E15)</f>
        <v>0</v>
      </c>
      <c r="F16" s="42">
        <f t="shared" si="4"/>
        <v>0</v>
      </c>
      <c r="G16" s="42">
        <f t="shared" si="4"/>
        <v>0</v>
      </c>
      <c r="H16" s="42">
        <f t="shared" si="4"/>
        <v>0</v>
      </c>
      <c r="I16" s="42">
        <f t="shared" si="4"/>
        <v>0</v>
      </c>
      <c r="J16" s="42">
        <f t="shared" si="4"/>
        <v>0</v>
      </c>
      <c r="K16" s="42">
        <f t="shared" si="4"/>
        <v>0</v>
      </c>
      <c r="L16" s="42">
        <f t="shared" si="4"/>
        <v>0</v>
      </c>
      <c r="M16" s="42">
        <f t="shared" si="4"/>
        <v>0</v>
      </c>
      <c r="N16" s="42">
        <f>SUM(N13:N15)</f>
        <v>0</v>
      </c>
      <c r="O16" s="43">
        <f t="shared" si="4"/>
        <v>0</v>
      </c>
    </row>
    <row r="17" spans="1:17" ht="15.75">
      <c r="A17" s="36"/>
      <c r="B17" s="44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9"/>
    </row>
    <row r="18" spans="1:17" ht="16.5" thickBot="1">
      <c r="A18" s="36"/>
      <c r="B18" s="46" t="s">
        <v>89</v>
      </c>
      <c r="C18" s="43">
        <f>C11+C16</f>
        <v>4888</v>
      </c>
      <c r="D18" s="43">
        <f t="shared" ref="D18:N18" si="5">D11+D16</f>
        <v>4888</v>
      </c>
      <c r="E18" s="43">
        <f t="shared" si="5"/>
        <v>4888</v>
      </c>
      <c r="F18" s="43">
        <f t="shared" si="5"/>
        <v>6110</v>
      </c>
      <c r="G18" s="43">
        <f t="shared" si="5"/>
        <v>4888</v>
      </c>
      <c r="H18" s="43">
        <f t="shared" si="5"/>
        <v>4888</v>
      </c>
      <c r="I18" s="43">
        <f t="shared" si="5"/>
        <v>3666</v>
      </c>
      <c r="J18" s="43">
        <f t="shared" si="5"/>
        <v>4888</v>
      </c>
      <c r="K18" s="43">
        <f t="shared" si="5"/>
        <v>4888</v>
      </c>
      <c r="L18" s="43">
        <f t="shared" si="5"/>
        <v>6110</v>
      </c>
      <c r="M18" s="43">
        <f t="shared" si="5"/>
        <v>4888</v>
      </c>
      <c r="N18" s="43">
        <f t="shared" si="5"/>
        <v>3666</v>
      </c>
      <c r="O18" s="43">
        <f>O11+O16</f>
        <v>58656</v>
      </c>
    </row>
    <row r="19" spans="1:17" ht="15.75">
      <c r="A19" s="36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9"/>
    </row>
    <row r="20" spans="1:17" ht="15.75">
      <c r="A20" s="36" t="s">
        <v>55</v>
      </c>
      <c r="B20" s="11" t="s">
        <v>37</v>
      </c>
      <c r="C20" s="47">
        <f>'Potential funders'!$B$4/12</f>
        <v>83.333333333333329</v>
      </c>
      <c r="D20" s="47">
        <f>'Potential funders'!$B$4/12</f>
        <v>83.333333333333329</v>
      </c>
      <c r="E20" s="47">
        <f>'Potential funders'!$B$4/12</f>
        <v>83.333333333333329</v>
      </c>
      <c r="F20" s="47">
        <f>'Potential funders'!$B$4/12</f>
        <v>83.333333333333329</v>
      </c>
      <c r="G20" s="47">
        <f>'Potential funders'!$B$4/12</f>
        <v>83.333333333333329</v>
      </c>
      <c r="H20" s="47">
        <f>'Potential funders'!$B$4/12</f>
        <v>83.333333333333329</v>
      </c>
      <c r="I20" s="47">
        <f>'Potential funders'!$B$4/12</f>
        <v>83.333333333333329</v>
      </c>
      <c r="J20" s="47">
        <f>'Potential funders'!$B$4/12</f>
        <v>83.333333333333329</v>
      </c>
      <c r="K20" s="47">
        <f>'Potential funders'!$B$4/12</f>
        <v>83.333333333333329</v>
      </c>
      <c r="L20" s="47">
        <f>'Potential funders'!$B$4/12</f>
        <v>83.333333333333329</v>
      </c>
      <c r="M20" s="47">
        <f>'Potential funders'!$B$4/12</f>
        <v>83.333333333333329</v>
      </c>
      <c r="N20" s="47">
        <f>'Potential funders'!$B$4/12</f>
        <v>83.333333333333329</v>
      </c>
      <c r="O20" s="39">
        <f t="shared" si="0"/>
        <v>1000.0000000000001</v>
      </c>
    </row>
    <row r="21" spans="1:17" ht="15.75">
      <c r="B21" s="11" t="s">
        <v>39</v>
      </c>
      <c r="C21" s="38"/>
      <c r="D21" s="38"/>
      <c r="E21" s="38"/>
      <c r="F21" s="38"/>
      <c r="G21" s="38"/>
      <c r="H21" s="38"/>
      <c r="I21" s="38"/>
      <c r="J21" s="38"/>
      <c r="K21" s="38"/>
      <c r="L21" s="48"/>
      <c r="M21" s="38"/>
      <c r="N21" s="38"/>
      <c r="O21" s="39">
        <f>SUM(C21:N21)</f>
        <v>0</v>
      </c>
    </row>
    <row r="22" spans="1:17" ht="15.75">
      <c r="B22" s="11" t="s">
        <v>41</v>
      </c>
      <c r="C22" s="38">
        <f>'Potential funders'!$B$19/12</f>
        <v>875</v>
      </c>
      <c r="D22" s="38">
        <f>'Potential funders'!$B$19/12</f>
        <v>875</v>
      </c>
      <c r="E22" s="38">
        <f>'Potential funders'!$B$19/12</f>
        <v>875</v>
      </c>
      <c r="F22" s="38">
        <f>'Potential funders'!$B$19/12</f>
        <v>875</v>
      </c>
      <c r="G22" s="38">
        <f>'Potential funders'!$B$19/12</f>
        <v>875</v>
      </c>
      <c r="H22" s="38">
        <f>'Potential funders'!$B$19/12</f>
        <v>875</v>
      </c>
      <c r="I22" s="38">
        <f>'Potential funders'!$B$19/12</f>
        <v>875</v>
      </c>
      <c r="J22" s="38">
        <f>'Potential funders'!$B$19/12</f>
        <v>875</v>
      </c>
      <c r="K22" s="38">
        <f>'Potential funders'!$B$19/12</f>
        <v>875</v>
      </c>
      <c r="L22" s="38">
        <f>'Potential funders'!$B$19/12</f>
        <v>875</v>
      </c>
      <c r="M22" s="38">
        <f>'Potential funders'!$B$19/12</f>
        <v>875</v>
      </c>
      <c r="N22" s="38">
        <f>'Potential funders'!$B$19/12</f>
        <v>875</v>
      </c>
      <c r="O22" s="39">
        <f>SUM(C22:N22)</f>
        <v>10500</v>
      </c>
    </row>
    <row r="23" spans="1:17" ht="15.75">
      <c r="B23" s="11" t="s">
        <v>45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</row>
    <row r="24" spans="1:17" ht="16.5" thickBot="1">
      <c r="B24" s="49" t="s">
        <v>90</v>
      </c>
      <c r="C24" s="50">
        <f t="shared" ref="C24:O24" si="6">SUM(C20:C22)</f>
        <v>958.33333333333337</v>
      </c>
      <c r="D24" s="50">
        <f t="shared" si="6"/>
        <v>958.33333333333337</v>
      </c>
      <c r="E24" s="50">
        <f t="shared" si="6"/>
        <v>958.33333333333337</v>
      </c>
      <c r="F24" s="50">
        <f t="shared" si="6"/>
        <v>958.33333333333337</v>
      </c>
      <c r="G24" s="50">
        <f t="shared" si="6"/>
        <v>958.33333333333337</v>
      </c>
      <c r="H24" s="50">
        <f t="shared" si="6"/>
        <v>958.33333333333337</v>
      </c>
      <c r="I24" s="50">
        <f t="shared" si="6"/>
        <v>958.33333333333337</v>
      </c>
      <c r="J24" s="50">
        <f t="shared" si="6"/>
        <v>958.33333333333337</v>
      </c>
      <c r="K24" s="50">
        <f t="shared" si="6"/>
        <v>958.33333333333337</v>
      </c>
      <c r="L24" s="50">
        <f t="shared" si="6"/>
        <v>958.33333333333337</v>
      </c>
      <c r="M24" s="50">
        <f t="shared" si="6"/>
        <v>958.33333333333337</v>
      </c>
      <c r="N24" s="50">
        <f>SUM(N20:N22)</f>
        <v>958.33333333333337</v>
      </c>
      <c r="O24" s="50">
        <f t="shared" si="6"/>
        <v>11500</v>
      </c>
      <c r="Q24" s="21"/>
    </row>
    <row r="25" spans="1:17" ht="15.75">
      <c r="B25" s="1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</row>
    <row r="26" spans="1:17" ht="16.5" thickBot="1">
      <c r="B26" s="34" t="s">
        <v>91</v>
      </c>
      <c r="C26" s="35">
        <f>C18+C24</f>
        <v>5846.333333333333</v>
      </c>
      <c r="D26" s="35">
        <f t="shared" ref="D26:N26" si="7">D18+D24</f>
        <v>5846.333333333333</v>
      </c>
      <c r="E26" s="35">
        <f t="shared" si="7"/>
        <v>5846.333333333333</v>
      </c>
      <c r="F26" s="35">
        <f t="shared" si="7"/>
        <v>7068.333333333333</v>
      </c>
      <c r="G26" s="35">
        <f t="shared" si="7"/>
        <v>5846.333333333333</v>
      </c>
      <c r="H26" s="35">
        <f t="shared" si="7"/>
        <v>5846.333333333333</v>
      </c>
      <c r="I26" s="35">
        <f t="shared" si="7"/>
        <v>4624.333333333333</v>
      </c>
      <c r="J26" s="35">
        <f t="shared" si="7"/>
        <v>5846.333333333333</v>
      </c>
      <c r="K26" s="35">
        <f t="shared" si="7"/>
        <v>5846.333333333333</v>
      </c>
      <c r="L26" s="35">
        <f t="shared" si="7"/>
        <v>7068.333333333333</v>
      </c>
      <c r="M26" s="35">
        <f t="shared" si="7"/>
        <v>5846.333333333333</v>
      </c>
      <c r="N26" s="35">
        <f t="shared" si="7"/>
        <v>4624.333333333333</v>
      </c>
      <c r="O26" s="35">
        <f>SUM(O18+O24)</f>
        <v>70156</v>
      </c>
    </row>
    <row r="27" spans="1:17" ht="16.5" thickTop="1">
      <c r="B27" s="1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2"/>
      <c r="P27" s="23"/>
    </row>
    <row r="28" spans="1:17" ht="15.75">
      <c r="A28" s="9" t="s">
        <v>92</v>
      </c>
      <c r="B28" s="11" t="s">
        <v>93</v>
      </c>
      <c r="C28" s="38">
        <v>20</v>
      </c>
      <c r="D28" s="38">
        <v>20</v>
      </c>
      <c r="E28" s="38">
        <v>20</v>
      </c>
      <c r="F28" s="38">
        <v>20</v>
      </c>
      <c r="G28" s="38">
        <v>20</v>
      </c>
      <c r="H28" s="38">
        <v>20</v>
      </c>
      <c r="I28" s="38">
        <v>20</v>
      </c>
      <c r="J28" s="38">
        <v>20</v>
      </c>
      <c r="K28" s="38">
        <v>20</v>
      </c>
      <c r="L28" s="38">
        <v>20</v>
      </c>
      <c r="M28" s="38">
        <v>20</v>
      </c>
      <c r="N28" s="38">
        <v>20</v>
      </c>
      <c r="O28" s="39">
        <f>SUM(C28:N28)</f>
        <v>240</v>
      </c>
      <c r="P28" s="24"/>
      <c r="Q28" s="24"/>
    </row>
    <row r="29" spans="1:17" ht="15.75">
      <c r="B29" s="11" t="s">
        <v>94</v>
      </c>
      <c r="C29" s="38">
        <v>20</v>
      </c>
      <c r="D29" s="38">
        <v>20</v>
      </c>
      <c r="E29" s="38">
        <v>20</v>
      </c>
      <c r="F29" s="38">
        <v>20</v>
      </c>
      <c r="G29" s="38">
        <v>20</v>
      </c>
      <c r="H29" s="38">
        <v>20</v>
      </c>
      <c r="I29" s="38">
        <v>20</v>
      </c>
      <c r="J29" s="38">
        <v>20</v>
      </c>
      <c r="K29" s="38">
        <v>20</v>
      </c>
      <c r="L29" s="38">
        <v>20</v>
      </c>
      <c r="M29" s="38">
        <v>20</v>
      </c>
      <c r="N29" s="38">
        <v>20</v>
      </c>
      <c r="O29" s="39">
        <f t="shared" ref="O29:P44" si="8">SUM(C29:N29)</f>
        <v>240</v>
      </c>
      <c r="P29" s="23"/>
    </row>
    <row r="30" spans="1:17" ht="15.75">
      <c r="B30" s="11" t="s">
        <v>95</v>
      </c>
      <c r="C30" s="38">
        <f>[1]Expenses!$P$23</f>
        <v>0</v>
      </c>
      <c r="D30" s="38">
        <f>[1]Expenses!$P$23</f>
        <v>0</v>
      </c>
      <c r="E30" s="38">
        <f>[1]Expenses!$P$23</f>
        <v>0</v>
      </c>
      <c r="F30" s="38">
        <f>[1]Expenses!$P$23</f>
        <v>0</v>
      </c>
      <c r="G30" s="38">
        <f>[1]Expenses!$P$23</f>
        <v>0</v>
      </c>
      <c r="H30" s="38">
        <f>[1]Expenses!$P$23</f>
        <v>0</v>
      </c>
      <c r="I30" s="38">
        <f>[1]Expenses!$P$23</f>
        <v>0</v>
      </c>
      <c r="J30" s="38">
        <f>[1]Expenses!$P$23</f>
        <v>0</v>
      </c>
      <c r="K30" s="38">
        <f>[1]Expenses!$P$23</f>
        <v>0</v>
      </c>
      <c r="L30" s="38">
        <f>[1]Expenses!$P$23</f>
        <v>0</v>
      </c>
      <c r="M30" s="38">
        <f>[1]Expenses!$P$23</f>
        <v>0</v>
      </c>
      <c r="N30" s="38">
        <f>[1]Expenses!$P$23</f>
        <v>0</v>
      </c>
      <c r="O30" s="39">
        <f t="shared" si="8"/>
        <v>0</v>
      </c>
    </row>
    <row r="31" spans="1:17" ht="15.75">
      <c r="B31" s="11" t="s">
        <v>96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9">
        <f t="shared" si="8"/>
        <v>0</v>
      </c>
    </row>
    <row r="32" spans="1:17" ht="15.75">
      <c r="B32" s="11" t="s">
        <v>97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9">
        <f t="shared" si="8"/>
        <v>0</v>
      </c>
    </row>
    <row r="33" spans="1:17" ht="15.75">
      <c r="B33" s="11" t="s">
        <v>98</v>
      </c>
      <c r="C33" s="38">
        <f>expenses!$D$11/12</f>
        <v>2166.6666666666665</v>
      </c>
      <c r="D33" s="38">
        <f>expenses!$D$11/12</f>
        <v>2166.6666666666665</v>
      </c>
      <c r="E33" s="38">
        <f>expenses!$D$11/12</f>
        <v>2166.6666666666665</v>
      </c>
      <c r="F33" s="38">
        <f>expenses!$D$11/12</f>
        <v>2166.6666666666665</v>
      </c>
      <c r="G33" s="38">
        <f>expenses!$D$11/12</f>
        <v>2166.6666666666665</v>
      </c>
      <c r="H33" s="38">
        <f>expenses!$D$11/12</f>
        <v>2166.6666666666665</v>
      </c>
      <c r="I33" s="38">
        <f>expenses!$D$11/12</f>
        <v>2166.6666666666665</v>
      </c>
      <c r="J33" s="38">
        <f>expenses!$D$11/12</f>
        <v>2166.6666666666665</v>
      </c>
      <c r="K33" s="38">
        <f>expenses!$D$11/12</f>
        <v>2166.6666666666665</v>
      </c>
      <c r="L33" s="38">
        <f>expenses!$D$11/12</f>
        <v>2166.6666666666665</v>
      </c>
      <c r="M33" s="38">
        <f>expenses!$D$11/12</f>
        <v>2166.6666666666665</v>
      </c>
      <c r="N33" s="38">
        <f>expenses!$D$11/12</f>
        <v>2166.6666666666665</v>
      </c>
      <c r="O33" s="39">
        <f t="shared" si="8"/>
        <v>26000.000000000004</v>
      </c>
    </row>
    <row r="34" spans="1:17" ht="15.75">
      <c r="B34" s="11" t="s">
        <v>99</v>
      </c>
      <c r="C34" s="38">
        <f>expenses!$D$16/12</f>
        <v>83.333333333333329</v>
      </c>
      <c r="D34" s="38">
        <f>expenses!$D$16/12</f>
        <v>83.333333333333329</v>
      </c>
      <c r="E34" s="38">
        <f>expenses!$D$16/12</f>
        <v>83.333333333333329</v>
      </c>
      <c r="F34" s="38">
        <f>expenses!$D$16/12</f>
        <v>83.333333333333329</v>
      </c>
      <c r="G34" s="38">
        <f>expenses!$D$16/12</f>
        <v>83.333333333333329</v>
      </c>
      <c r="H34" s="38">
        <f>expenses!$D$16/12</f>
        <v>83.333333333333329</v>
      </c>
      <c r="I34" s="38">
        <f>expenses!$D$16/12</f>
        <v>83.333333333333329</v>
      </c>
      <c r="J34" s="38">
        <f>expenses!$D$16/12</f>
        <v>83.333333333333329</v>
      </c>
      <c r="K34" s="38">
        <f>expenses!$D$16/12</f>
        <v>83.333333333333329</v>
      </c>
      <c r="L34" s="38">
        <f>expenses!$D$16/12</f>
        <v>83.333333333333329</v>
      </c>
      <c r="M34" s="38">
        <f>expenses!$D$16/12</f>
        <v>83.333333333333329</v>
      </c>
      <c r="N34" s="38">
        <f>expenses!$D$16/12</f>
        <v>83.333333333333329</v>
      </c>
      <c r="O34" s="39">
        <f t="shared" si="8"/>
        <v>1000.0000000000001</v>
      </c>
    </row>
    <row r="35" spans="1:17" ht="15.75">
      <c r="B35" s="11" t="s">
        <v>100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9">
        <f t="shared" si="8"/>
        <v>0</v>
      </c>
    </row>
    <row r="36" spans="1:17" ht="15.75">
      <c r="B36" s="11" t="s">
        <v>101</v>
      </c>
      <c r="C36" s="38">
        <v>50</v>
      </c>
      <c r="D36" s="38">
        <v>50</v>
      </c>
      <c r="E36" s="38">
        <v>50</v>
      </c>
      <c r="F36" s="38">
        <v>50</v>
      </c>
      <c r="G36" s="38">
        <v>50</v>
      </c>
      <c r="H36" s="38">
        <v>50</v>
      </c>
      <c r="I36" s="38">
        <v>50</v>
      </c>
      <c r="J36" s="38">
        <v>50</v>
      </c>
      <c r="K36" s="38">
        <v>50</v>
      </c>
      <c r="L36" s="38">
        <v>50</v>
      </c>
      <c r="M36" s="38">
        <v>50</v>
      </c>
      <c r="N36" s="38">
        <v>50</v>
      </c>
      <c r="O36" s="39">
        <f t="shared" si="8"/>
        <v>600</v>
      </c>
    </row>
    <row r="37" spans="1:17" ht="15.75">
      <c r="B37" s="11" t="s">
        <v>102</v>
      </c>
      <c r="C37" s="38">
        <f>1000/12</f>
        <v>83.333333333333329</v>
      </c>
      <c r="D37" s="38">
        <f t="shared" ref="D37:N37" si="9">1000/12</f>
        <v>83.333333333333329</v>
      </c>
      <c r="E37" s="38">
        <f t="shared" si="9"/>
        <v>83.333333333333329</v>
      </c>
      <c r="F37" s="38">
        <f t="shared" si="9"/>
        <v>83.333333333333329</v>
      </c>
      <c r="G37" s="38">
        <f t="shared" si="9"/>
        <v>83.333333333333329</v>
      </c>
      <c r="H37" s="38">
        <f t="shared" si="9"/>
        <v>83.333333333333329</v>
      </c>
      <c r="I37" s="38">
        <f t="shared" si="9"/>
        <v>83.333333333333329</v>
      </c>
      <c r="J37" s="38">
        <f t="shared" si="9"/>
        <v>83.333333333333329</v>
      </c>
      <c r="K37" s="38">
        <f t="shared" si="9"/>
        <v>83.333333333333329</v>
      </c>
      <c r="L37" s="38">
        <f t="shared" si="9"/>
        <v>83.333333333333329</v>
      </c>
      <c r="M37" s="38">
        <f t="shared" si="9"/>
        <v>83.333333333333329</v>
      </c>
      <c r="N37" s="38">
        <f t="shared" si="9"/>
        <v>83.333333333333329</v>
      </c>
      <c r="O37" s="39">
        <f t="shared" si="8"/>
        <v>1000.0000000000001</v>
      </c>
    </row>
    <row r="38" spans="1:17" ht="15.75">
      <c r="B38" s="11" t="s">
        <v>16</v>
      </c>
      <c r="C38" s="38">
        <f>expenses!$D$14/12</f>
        <v>83.333333333333329</v>
      </c>
      <c r="D38" s="38">
        <f>expenses!$D$14/12</f>
        <v>83.333333333333329</v>
      </c>
      <c r="E38" s="38">
        <f>expenses!$D$14/12</f>
        <v>83.333333333333329</v>
      </c>
      <c r="F38" s="38">
        <f>expenses!$D$14/12</f>
        <v>83.333333333333329</v>
      </c>
      <c r="G38" s="38">
        <f>expenses!$D$14/12</f>
        <v>83.333333333333329</v>
      </c>
      <c r="H38" s="38">
        <f>expenses!$D$14/12</f>
        <v>83.333333333333329</v>
      </c>
      <c r="I38" s="38">
        <f>expenses!$D$14/12</f>
        <v>83.333333333333329</v>
      </c>
      <c r="J38" s="38">
        <f>expenses!$D$14/12</f>
        <v>83.333333333333329</v>
      </c>
      <c r="K38" s="38">
        <f>expenses!$D$14/12</f>
        <v>83.333333333333329</v>
      </c>
      <c r="L38" s="38">
        <f>expenses!$D$14/12</f>
        <v>83.333333333333329</v>
      </c>
      <c r="M38" s="38">
        <f>expenses!$D$14/12</f>
        <v>83.333333333333329</v>
      </c>
      <c r="N38" s="38">
        <f>expenses!$D$14/12</f>
        <v>83.333333333333329</v>
      </c>
      <c r="O38" s="39">
        <f t="shared" si="8"/>
        <v>1000.0000000000001</v>
      </c>
    </row>
    <row r="39" spans="1:17" ht="15.75">
      <c r="B39" s="11" t="s">
        <v>103</v>
      </c>
      <c r="C39" s="38">
        <f>expenses!$D$12/12</f>
        <v>300</v>
      </c>
      <c r="D39" s="38">
        <f>expenses!$D$12/12</f>
        <v>300</v>
      </c>
      <c r="E39" s="38">
        <f>expenses!$D$12/12</f>
        <v>300</v>
      </c>
      <c r="F39" s="38">
        <f>expenses!$D$12/12</f>
        <v>300</v>
      </c>
      <c r="G39" s="38">
        <f>expenses!$D$12/12</f>
        <v>300</v>
      </c>
      <c r="H39" s="38">
        <f>expenses!$D$12/12</f>
        <v>300</v>
      </c>
      <c r="I39" s="38">
        <f>expenses!$D$12/12</f>
        <v>300</v>
      </c>
      <c r="J39" s="38">
        <f>expenses!$D$12/12</f>
        <v>300</v>
      </c>
      <c r="K39" s="38">
        <f>expenses!$D$12/12</f>
        <v>300</v>
      </c>
      <c r="L39" s="38">
        <f>expenses!$D$12/12</f>
        <v>300</v>
      </c>
      <c r="M39" s="38">
        <f>expenses!$D$12/12</f>
        <v>300</v>
      </c>
      <c r="N39" s="38">
        <f>expenses!$D$12/12</f>
        <v>300</v>
      </c>
      <c r="O39" s="39">
        <f t="shared" si="8"/>
        <v>3600</v>
      </c>
    </row>
    <row r="40" spans="1:17" ht="15.75">
      <c r="B40" s="11" t="s">
        <v>14</v>
      </c>
      <c r="C40" s="38">
        <f>expenses!$D$13/12</f>
        <v>250</v>
      </c>
      <c r="D40" s="38">
        <f>expenses!$D$13/12</f>
        <v>250</v>
      </c>
      <c r="E40" s="38">
        <f>expenses!$D$13/12</f>
        <v>250</v>
      </c>
      <c r="F40" s="38">
        <f>expenses!$D$13/12</f>
        <v>250</v>
      </c>
      <c r="G40" s="38">
        <f>expenses!$D$13/12</f>
        <v>250</v>
      </c>
      <c r="H40" s="38">
        <f>expenses!$D$13/12</f>
        <v>250</v>
      </c>
      <c r="I40" s="38">
        <f>expenses!$D$13/12</f>
        <v>250</v>
      </c>
      <c r="J40" s="38">
        <f>expenses!$D$13/12</f>
        <v>250</v>
      </c>
      <c r="K40" s="38">
        <f>expenses!$D$13/12</f>
        <v>250</v>
      </c>
      <c r="L40" s="38">
        <f>expenses!$D$13/12</f>
        <v>250</v>
      </c>
      <c r="M40" s="38">
        <f>expenses!$D$13/12</f>
        <v>250</v>
      </c>
      <c r="N40" s="38">
        <f>expenses!$D$13/12</f>
        <v>250</v>
      </c>
      <c r="O40" s="39">
        <f t="shared" si="8"/>
        <v>3000</v>
      </c>
    </row>
    <row r="41" spans="1:17" ht="15.75">
      <c r="B41" s="11" t="s">
        <v>18</v>
      </c>
      <c r="C41" s="38">
        <f>expenses!$D$15/12</f>
        <v>50</v>
      </c>
      <c r="D41" s="38">
        <f>expenses!$D$15/12</f>
        <v>50</v>
      </c>
      <c r="E41" s="38">
        <f>expenses!$D$15/12</f>
        <v>50</v>
      </c>
      <c r="F41" s="38">
        <f>expenses!$D$15/12</f>
        <v>50</v>
      </c>
      <c r="G41" s="38">
        <f>expenses!$D$15/12</f>
        <v>50</v>
      </c>
      <c r="H41" s="38">
        <f>expenses!$D$15/12</f>
        <v>50</v>
      </c>
      <c r="I41" s="38">
        <f>expenses!$D$15/12</f>
        <v>50</v>
      </c>
      <c r="J41" s="38">
        <f>expenses!$D$15/12</f>
        <v>50</v>
      </c>
      <c r="K41" s="38">
        <f>expenses!$D$15/12</f>
        <v>50</v>
      </c>
      <c r="L41" s="38">
        <f>expenses!$D$15/12</f>
        <v>50</v>
      </c>
      <c r="M41" s="38">
        <f>expenses!$D$15/12</f>
        <v>50</v>
      </c>
      <c r="N41" s="38">
        <f>expenses!$D$15/12</f>
        <v>50</v>
      </c>
      <c r="O41" s="39">
        <f t="shared" si="8"/>
        <v>600</v>
      </c>
    </row>
    <row r="42" spans="1:17" ht="15.75">
      <c r="B42" s="11" t="s">
        <v>104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9">
        <f t="shared" si="8"/>
        <v>0</v>
      </c>
    </row>
    <row r="43" spans="1:17" ht="15.75">
      <c r="B43" s="11" t="s">
        <v>105</v>
      </c>
      <c r="C43" s="38">
        <v>15</v>
      </c>
      <c r="D43" s="38">
        <v>15</v>
      </c>
      <c r="E43" s="38">
        <v>15</v>
      </c>
      <c r="F43" s="38">
        <v>15</v>
      </c>
      <c r="G43" s="38">
        <v>15</v>
      </c>
      <c r="H43" s="38">
        <v>15</v>
      </c>
      <c r="I43" s="38">
        <v>15</v>
      </c>
      <c r="J43" s="38">
        <v>15</v>
      </c>
      <c r="K43" s="38">
        <v>15</v>
      </c>
      <c r="L43" s="38">
        <v>15</v>
      </c>
      <c r="M43" s="38">
        <v>15</v>
      </c>
      <c r="N43" s="38">
        <v>15</v>
      </c>
      <c r="O43" s="39">
        <f t="shared" si="8"/>
        <v>180</v>
      </c>
    </row>
    <row r="44" spans="1:17" ht="15.75">
      <c r="B44" s="11" t="s">
        <v>106</v>
      </c>
      <c r="C44" s="38">
        <f>expenses!$D$17/12</f>
        <v>16</v>
      </c>
      <c r="D44" s="38">
        <f>expenses!$D$17/12</f>
        <v>16</v>
      </c>
      <c r="E44" s="38">
        <f>(expenses!$D$17/12)+20</f>
        <v>36</v>
      </c>
      <c r="F44" s="38">
        <f>expenses!$D$17/12</f>
        <v>16</v>
      </c>
      <c r="G44" s="38">
        <f>expenses!$D$17/12</f>
        <v>16</v>
      </c>
      <c r="H44" s="38">
        <f>expenses!$D$17/12</f>
        <v>16</v>
      </c>
      <c r="I44" s="38">
        <f>expenses!$D$17/12</f>
        <v>16</v>
      </c>
      <c r="J44" s="38">
        <f>expenses!$D$17/12</f>
        <v>16</v>
      </c>
      <c r="K44" s="38">
        <f>expenses!$D$17/12</f>
        <v>16</v>
      </c>
      <c r="L44" s="38">
        <f>expenses!$D$17/12</f>
        <v>16</v>
      </c>
      <c r="M44" s="38">
        <f>expenses!$D$17/12</f>
        <v>16</v>
      </c>
      <c r="N44" s="38">
        <f>expenses!$D$17/12</f>
        <v>16</v>
      </c>
      <c r="O44" s="39">
        <f t="shared" si="8"/>
        <v>212</v>
      </c>
    </row>
    <row r="45" spans="1:17" ht="15.75">
      <c r="B45" s="11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9"/>
    </row>
    <row r="46" spans="1:17" ht="16.5" thickBot="1">
      <c r="B46" s="53" t="s">
        <v>107</v>
      </c>
      <c r="C46" s="54">
        <f t="shared" ref="C46:O46" si="10">SUM(C28:C45)</f>
        <v>3137.666666666667</v>
      </c>
      <c r="D46" s="54">
        <f t="shared" si="10"/>
        <v>3137.666666666667</v>
      </c>
      <c r="E46" s="54">
        <f t="shared" si="10"/>
        <v>3157.666666666667</v>
      </c>
      <c r="F46" s="54">
        <f t="shared" si="10"/>
        <v>3137.666666666667</v>
      </c>
      <c r="G46" s="54">
        <f t="shared" si="10"/>
        <v>3137.666666666667</v>
      </c>
      <c r="H46" s="54">
        <f t="shared" si="10"/>
        <v>3137.666666666667</v>
      </c>
      <c r="I46" s="54">
        <f t="shared" si="10"/>
        <v>3137.666666666667</v>
      </c>
      <c r="J46" s="54">
        <f t="shared" si="10"/>
        <v>3137.666666666667</v>
      </c>
      <c r="K46" s="54">
        <f t="shared" si="10"/>
        <v>3137.666666666667</v>
      </c>
      <c r="L46" s="54">
        <f t="shared" si="10"/>
        <v>3137.666666666667</v>
      </c>
      <c r="M46" s="54">
        <f t="shared" si="10"/>
        <v>3137.666666666667</v>
      </c>
      <c r="N46" s="54">
        <f t="shared" si="10"/>
        <v>3137.666666666667</v>
      </c>
      <c r="O46" s="54">
        <f>SUM(O28:O45)</f>
        <v>37672</v>
      </c>
      <c r="Q46" s="20"/>
    </row>
    <row r="47" spans="1:17" ht="16.5" thickTop="1">
      <c r="B47" s="11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</row>
    <row r="48" spans="1:17" s="17" customFormat="1" ht="16.5" thickBot="1">
      <c r="A48" s="9" t="s">
        <v>108</v>
      </c>
      <c r="B48" s="55" t="s">
        <v>109</v>
      </c>
      <c r="C48" s="56">
        <f>SUM(C18-C46)</f>
        <v>1750.333333333333</v>
      </c>
      <c r="D48" s="56">
        <f t="shared" ref="C48:N48" si="11">SUM(D18-D46)</f>
        <v>1750.333333333333</v>
      </c>
      <c r="E48" s="56">
        <f t="shared" si="11"/>
        <v>1730.333333333333</v>
      </c>
      <c r="F48" s="56">
        <f t="shared" si="11"/>
        <v>2972.333333333333</v>
      </c>
      <c r="G48" s="56">
        <f t="shared" si="11"/>
        <v>1750.333333333333</v>
      </c>
      <c r="H48" s="56">
        <f t="shared" si="11"/>
        <v>1750.333333333333</v>
      </c>
      <c r="I48" s="56">
        <f t="shared" si="11"/>
        <v>528.33333333333303</v>
      </c>
      <c r="J48" s="56">
        <f t="shared" si="11"/>
        <v>1750.333333333333</v>
      </c>
      <c r="K48" s="56">
        <f t="shared" si="11"/>
        <v>1750.333333333333</v>
      </c>
      <c r="L48" s="56">
        <f t="shared" si="11"/>
        <v>2972.333333333333</v>
      </c>
      <c r="M48" s="56">
        <f t="shared" si="11"/>
        <v>1750.333333333333</v>
      </c>
      <c r="N48" s="56">
        <f t="shared" si="11"/>
        <v>528.33333333333303</v>
      </c>
      <c r="O48" s="56">
        <f>O26-O46</f>
        <v>32484</v>
      </c>
    </row>
    <row r="49" spans="1:17" ht="15.75">
      <c r="B49" s="1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Q49" s="22"/>
    </row>
    <row r="50" spans="1:17" ht="15.75">
      <c r="A50" s="9" t="s">
        <v>60</v>
      </c>
      <c r="B50" s="75" t="s">
        <v>110</v>
      </c>
      <c r="C50" s="76">
        <f>C18-C46</f>
        <v>1750.333333333333</v>
      </c>
      <c r="D50" s="76">
        <f t="shared" ref="D50:O50" si="12">D18-D46</f>
        <v>1750.333333333333</v>
      </c>
      <c r="E50" s="76">
        <f t="shared" si="12"/>
        <v>1730.333333333333</v>
      </c>
      <c r="F50" s="76">
        <f t="shared" si="12"/>
        <v>2972.333333333333</v>
      </c>
      <c r="G50" s="76">
        <f t="shared" si="12"/>
        <v>1750.333333333333</v>
      </c>
      <c r="H50" s="76">
        <f t="shared" si="12"/>
        <v>1750.333333333333</v>
      </c>
      <c r="I50" s="76">
        <f t="shared" si="12"/>
        <v>528.33333333333303</v>
      </c>
      <c r="J50" s="76">
        <f t="shared" si="12"/>
        <v>1750.333333333333</v>
      </c>
      <c r="K50" s="76">
        <f t="shared" si="12"/>
        <v>1750.333333333333</v>
      </c>
      <c r="L50" s="76">
        <f t="shared" si="12"/>
        <v>2972.333333333333</v>
      </c>
      <c r="M50" s="76">
        <f t="shared" si="12"/>
        <v>1750.333333333333</v>
      </c>
      <c r="N50" s="76">
        <f t="shared" si="12"/>
        <v>528.33333333333303</v>
      </c>
      <c r="O50" s="77">
        <f t="shared" si="12"/>
        <v>20984</v>
      </c>
    </row>
    <row r="51" spans="1:17" ht="15.75">
      <c r="B51" s="58" t="s">
        <v>111</v>
      </c>
      <c r="C51" s="59">
        <f t="shared" ref="C51:O51" si="13">C26-C46</f>
        <v>2708.6666666666661</v>
      </c>
      <c r="D51" s="59">
        <f t="shared" si="13"/>
        <v>2708.6666666666661</v>
      </c>
      <c r="E51" s="59">
        <f t="shared" si="13"/>
        <v>2688.6666666666661</v>
      </c>
      <c r="F51" s="59">
        <f t="shared" si="13"/>
        <v>3930.6666666666661</v>
      </c>
      <c r="G51" s="59">
        <f t="shared" si="13"/>
        <v>2708.6666666666661</v>
      </c>
      <c r="H51" s="59">
        <f t="shared" si="13"/>
        <v>2708.6666666666661</v>
      </c>
      <c r="I51" s="59">
        <f t="shared" si="13"/>
        <v>1486.6666666666661</v>
      </c>
      <c r="J51" s="59">
        <f t="shared" si="13"/>
        <v>2708.6666666666661</v>
      </c>
      <c r="K51" s="59">
        <f t="shared" si="13"/>
        <v>2708.6666666666661</v>
      </c>
      <c r="L51" s="59">
        <f t="shared" si="13"/>
        <v>3930.6666666666661</v>
      </c>
      <c r="M51" s="59">
        <f t="shared" si="13"/>
        <v>2708.6666666666661</v>
      </c>
      <c r="N51" s="59">
        <f t="shared" si="13"/>
        <v>1486.6666666666661</v>
      </c>
      <c r="O51" s="60">
        <f t="shared" si="13"/>
        <v>32484</v>
      </c>
    </row>
    <row r="52" spans="1:17" ht="15.75">
      <c r="B52" s="11"/>
    </row>
    <row r="53" spans="1:17" ht="15.75">
      <c r="B53" s="11"/>
    </row>
    <row r="54" spans="1:17" ht="15.75">
      <c r="B54" s="11"/>
    </row>
    <row r="55" spans="1:17" ht="15.75">
      <c r="B55" s="11"/>
    </row>
    <row r="56" spans="1:17" ht="15.75">
      <c r="B56" s="11"/>
    </row>
    <row r="57" spans="1:17" ht="15.75">
      <c r="B57" s="11"/>
    </row>
    <row r="58" spans="1:17" ht="15.75">
      <c r="B58" s="11"/>
    </row>
    <row r="59" spans="1:17" ht="15.75">
      <c r="B59" s="11"/>
    </row>
    <row r="60" spans="1:17" ht="15.75">
      <c r="B60" s="11"/>
    </row>
    <row r="61" spans="1:17" ht="15.75">
      <c r="B61" s="11"/>
    </row>
    <row r="62" spans="1:17" ht="15.75">
      <c r="B62" s="11"/>
    </row>
    <row r="63" spans="1:17" ht="15.75">
      <c r="B63" s="11"/>
    </row>
    <row r="64" spans="1:17" ht="15.75">
      <c r="B64" s="11"/>
    </row>
    <row r="65" spans="2:2" ht="15.75">
      <c r="B65" s="11"/>
    </row>
    <row r="66" spans="2:2" ht="15.75">
      <c r="B66" s="11"/>
    </row>
    <row r="67" spans="2:2" ht="15.75">
      <c r="B67" s="11"/>
    </row>
    <row r="68" spans="2:2" ht="15.75">
      <c r="B68" s="11"/>
    </row>
    <row r="69" spans="2:2" ht="15.75">
      <c r="B69" s="11"/>
    </row>
    <row r="70" spans="2:2" ht="15.75">
      <c r="B70" s="11"/>
    </row>
    <row r="71" spans="2:2" ht="15.75">
      <c r="B71" s="11"/>
    </row>
    <row r="72" spans="2:2" ht="15.75">
      <c r="B72" s="11"/>
    </row>
    <row r="73" spans="2:2" ht="15.75">
      <c r="B73" s="11"/>
    </row>
    <row r="74" spans="2:2" ht="15.75">
      <c r="B74" s="11"/>
    </row>
    <row r="75" spans="2:2" ht="15.75">
      <c r="B75" s="11"/>
    </row>
    <row r="76" spans="2:2" ht="15.75">
      <c r="B76" s="11"/>
    </row>
    <row r="77" spans="2:2" ht="15.75">
      <c r="B77" s="11"/>
    </row>
    <row r="78" spans="2:2" ht="15.75">
      <c r="B78" s="11"/>
    </row>
    <row r="79" spans="2:2" ht="15.75">
      <c r="B79" s="11"/>
    </row>
    <row r="80" spans="2:2" ht="15.75">
      <c r="B80" s="11"/>
    </row>
    <row r="81" spans="2:2" ht="15.75">
      <c r="B81" s="11"/>
    </row>
    <row r="82" spans="2:2" ht="15.75">
      <c r="B82" s="11"/>
    </row>
  </sheetData>
  <phoneticPr fontId="9" type="noConversion"/>
  <pageMargins left="0.7" right="0.7" top="0.75" bottom="0.75" header="0.3" footer="0.3"/>
  <ignoredErrors>
    <ignoredError sqref="C9" formula="1"/>
  </ignoredErrors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9C43B-33BC-4347-821E-77031CB5B272}">
  <sheetPr>
    <tabColor theme="9" tint="0.59999389629810485"/>
  </sheetPr>
  <dimension ref="A1:Q82"/>
  <sheetViews>
    <sheetView zoomScale="90" zoomScaleNormal="90" workbookViewId="0">
      <pane ySplit="2" topLeftCell="A26" activePane="bottomLeft" state="frozen"/>
      <selection pane="bottomLeft" activeCell="J55" sqref="J55"/>
    </sheetView>
  </sheetViews>
  <sheetFormatPr defaultColWidth="8.85546875" defaultRowHeight="12.75"/>
  <cols>
    <col min="1" max="1" width="21.42578125" style="10" customWidth="1"/>
    <col min="2" max="2" width="48.42578125" style="10" customWidth="1"/>
    <col min="3" max="3" width="12.42578125" style="10" customWidth="1"/>
    <col min="4" max="4" width="11.140625" style="10" bestFit="1" customWidth="1"/>
    <col min="5" max="5" width="11" style="10" customWidth="1"/>
    <col min="6" max="14" width="11.140625" style="10" bestFit="1" customWidth="1"/>
    <col min="15" max="15" width="12.7109375" style="10" bestFit="1" customWidth="1"/>
    <col min="16" max="16" width="10.140625" bestFit="1" customWidth="1"/>
    <col min="17" max="17" width="11.140625" bestFit="1" customWidth="1"/>
  </cols>
  <sheetData>
    <row r="1" spans="1:17" s="80" customFormat="1" ht="42.75" customHeight="1">
      <c r="A1" s="78" t="s">
        <v>112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7" ht="15.75">
      <c r="A2" s="9" t="s">
        <v>64</v>
      </c>
      <c r="C2" s="61" t="s">
        <v>65</v>
      </c>
      <c r="D2" s="61" t="s">
        <v>66</v>
      </c>
      <c r="E2" s="61" t="s">
        <v>67</v>
      </c>
      <c r="F2" s="61" t="s">
        <v>68</v>
      </c>
      <c r="G2" s="61" t="s">
        <v>69</v>
      </c>
      <c r="H2" s="61" t="s">
        <v>70</v>
      </c>
      <c r="I2" s="61" t="s">
        <v>71</v>
      </c>
      <c r="J2" s="61" t="s">
        <v>72</v>
      </c>
      <c r="K2" s="61" t="s">
        <v>73</v>
      </c>
      <c r="L2" s="61" t="s">
        <v>74</v>
      </c>
      <c r="M2" s="61" t="s">
        <v>75</v>
      </c>
      <c r="N2" s="61" t="s">
        <v>76</v>
      </c>
      <c r="O2" s="62" t="s">
        <v>77</v>
      </c>
    </row>
    <row r="3" spans="1:17" ht="15">
      <c r="O3" s="36"/>
    </row>
    <row r="4" spans="1:17" ht="15.75">
      <c r="A4" s="36" t="s">
        <v>78</v>
      </c>
      <c r="B4" s="83" t="s">
        <v>113</v>
      </c>
      <c r="C4" s="81">
        <f>(income!$C$3*income!$D$3*1.05)</f>
        <v>252</v>
      </c>
      <c r="D4" s="81">
        <f>(income!$C$3*income!$D$3)+(income!$C$3*income!$D$3*0.05)</f>
        <v>252</v>
      </c>
      <c r="E4" s="81">
        <f>(income!$C$3*income!$D$3)+(income!$C$3*income!$D$3*0.05)</f>
        <v>252</v>
      </c>
      <c r="F4" s="81">
        <f>(income!$C$3*income!$D$3)+(income!$C$3*income!$D$3*0.05)</f>
        <v>252</v>
      </c>
      <c r="G4" s="81">
        <f>(income!$C$3*income!$D$3)+(income!$C$3*income!$D$3*0.05)</f>
        <v>252</v>
      </c>
      <c r="H4" s="81">
        <f>(income!$C$3*income!$D$3)+(income!$C$3*income!$D$3*0.05)</f>
        <v>252</v>
      </c>
      <c r="I4" s="81">
        <f>(income!$C$3*income!$D$3)+(income!$C$3*income!$D$3*0.05)</f>
        <v>252</v>
      </c>
      <c r="J4" s="81">
        <f>(income!$C$3*income!$D$3)+(income!$C$3*income!$D$3*0.05)</f>
        <v>252</v>
      </c>
      <c r="K4" s="81">
        <f>(income!$C$3*income!$D$3)+(income!$C$3*income!$D$3*0.05)</f>
        <v>252</v>
      </c>
      <c r="L4" s="81">
        <f>(income!$C$3*income!$D$3)+(income!$C$3*income!$D$3*0.05)</f>
        <v>252</v>
      </c>
      <c r="M4" s="81">
        <f>(income!$C$3*income!$D$3)+(income!$C$3*income!$D$3*0.05)</f>
        <v>252</v>
      </c>
      <c r="N4" s="81">
        <f>(income!$C$3*income!$D$3)+(income!$C$3*income!$D$3*0.05)</f>
        <v>252</v>
      </c>
      <c r="O4" s="82">
        <f>SUM(C4:N4)</f>
        <v>3024</v>
      </c>
      <c r="P4" s="18"/>
    </row>
    <row r="5" spans="1:17" ht="15">
      <c r="A5" s="36"/>
      <c r="B5" s="40" t="s">
        <v>80</v>
      </c>
      <c r="C5" s="38">
        <v>4</v>
      </c>
      <c r="D5" s="38">
        <v>4</v>
      </c>
      <c r="E5" s="38">
        <v>4</v>
      </c>
      <c r="F5" s="38">
        <v>5</v>
      </c>
      <c r="G5" s="38">
        <v>4</v>
      </c>
      <c r="H5" s="38">
        <v>4</v>
      </c>
      <c r="I5" s="38">
        <v>3</v>
      </c>
      <c r="J5" s="38">
        <v>4</v>
      </c>
      <c r="K5" s="38">
        <v>4</v>
      </c>
      <c r="L5" s="38">
        <v>5</v>
      </c>
      <c r="M5" s="38">
        <v>4</v>
      </c>
      <c r="N5" s="38">
        <v>3</v>
      </c>
      <c r="O5" s="39"/>
      <c r="Q5" s="20"/>
    </row>
    <row r="6" spans="1:17" ht="15.75">
      <c r="A6" s="36"/>
      <c r="B6" s="37" t="s">
        <v>81</v>
      </c>
      <c r="C6" s="63">
        <f>C4*C5</f>
        <v>1008</v>
      </c>
      <c r="D6" s="63">
        <f t="shared" ref="D6:N6" si="0">D4*D5</f>
        <v>1008</v>
      </c>
      <c r="E6" s="63">
        <f t="shared" si="0"/>
        <v>1008</v>
      </c>
      <c r="F6" s="63">
        <f t="shared" si="0"/>
        <v>1260</v>
      </c>
      <c r="G6" s="63">
        <f t="shared" si="0"/>
        <v>1008</v>
      </c>
      <c r="H6" s="63">
        <f t="shared" si="0"/>
        <v>1008</v>
      </c>
      <c r="I6" s="63">
        <f t="shared" si="0"/>
        <v>756</v>
      </c>
      <c r="J6" s="63">
        <f t="shared" si="0"/>
        <v>1008</v>
      </c>
      <c r="K6" s="63">
        <f t="shared" si="0"/>
        <v>1008</v>
      </c>
      <c r="L6" s="63">
        <f t="shared" si="0"/>
        <v>1260</v>
      </c>
      <c r="M6" s="63">
        <f t="shared" si="0"/>
        <v>1008</v>
      </c>
      <c r="N6" s="63">
        <f t="shared" si="0"/>
        <v>756</v>
      </c>
      <c r="O6" s="39">
        <f>SUM(C6:N6)</f>
        <v>12096</v>
      </c>
      <c r="Q6" s="20"/>
    </row>
    <row r="7" spans="1:17" ht="15.75">
      <c r="A7" s="36"/>
      <c r="B7" s="37" t="s">
        <v>82</v>
      </c>
      <c r="C7" s="63">
        <f>((income!$C$4*income!$D$4)*C5)*1.05</f>
        <v>2268</v>
      </c>
      <c r="D7" s="63">
        <f>((income!$C$4*income!$D$4)*D5)*1.05</f>
        <v>2268</v>
      </c>
      <c r="E7" s="63">
        <f>((income!$C$4*income!$D$4)*E5)*1.05</f>
        <v>2268</v>
      </c>
      <c r="F7" s="63">
        <f>((income!$C$4*income!$D$4)*F5)*1.05</f>
        <v>2835</v>
      </c>
      <c r="G7" s="63">
        <f>((income!$C$4*income!$D$4)*G5)*1.05</f>
        <v>2268</v>
      </c>
      <c r="H7" s="63">
        <f>((income!$C$4*income!$D$4)*H5)*1.05</f>
        <v>2268</v>
      </c>
      <c r="I7" s="63">
        <f>((income!$C$4*income!$D$4)*I5)*1.05</f>
        <v>1701</v>
      </c>
      <c r="J7" s="63">
        <f>((income!$C$4*income!$D$4)*J5)*1.05</f>
        <v>2268</v>
      </c>
      <c r="K7" s="63">
        <f>((income!$C$4*income!$D$4)*K5)*1.05</f>
        <v>2268</v>
      </c>
      <c r="L7" s="63">
        <f>((income!$C$4*income!$D$4)*L5)*1.05</f>
        <v>2835</v>
      </c>
      <c r="M7" s="63">
        <f>((income!$C$4*income!$D$4)*M5)*1.05</f>
        <v>2268</v>
      </c>
      <c r="N7" s="63">
        <f>((income!$C$4*income!$D$4)*N5)*1.05</f>
        <v>1701</v>
      </c>
      <c r="O7" s="39">
        <f t="shared" ref="O7:O8" si="1">SUM(C7:N7)</f>
        <v>27216</v>
      </c>
      <c r="Q7" s="20"/>
    </row>
    <row r="8" spans="1:17" ht="15.75">
      <c r="A8" s="36"/>
      <c r="B8" s="37" t="s">
        <v>83</v>
      </c>
      <c r="C8" s="63">
        <f>((income!$C$5*income!$D$5)*C5)*1.05</f>
        <v>672</v>
      </c>
      <c r="D8" s="63">
        <f>((income!$C$5*income!$D$5)*D5)*1.05</f>
        <v>672</v>
      </c>
      <c r="E8" s="63">
        <f>((income!$C$5*income!$D$5)*E5)*1.05</f>
        <v>672</v>
      </c>
      <c r="F8" s="63">
        <f>((income!$C$5*income!$D$5)*F5)*1.05</f>
        <v>840</v>
      </c>
      <c r="G8" s="63">
        <f>((income!$C$5*income!$D$5)*G5)*1.05</f>
        <v>672</v>
      </c>
      <c r="H8" s="63">
        <f>((income!$C$5*income!$D$5)*H5)*1.05</f>
        <v>672</v>
      </c>
      <c r="I8" s="63">
        <f>((income!$C$5*income!$D$5)*I5)*1.05</f>
        <v>504</v>
      </c>
      <c r="J8" s="63">
        <f>((income!$C$5*income!$D$5)*J5)*1.05</f>
        <v>672</v>
      </c>
      <c r="K8" s="63">
        <f>((income!$C$5*income!$D$5)*K5)*1.05</f>
        <v>672</v>
      </c>
      <c r="L8" s="63">
        <f>((income!$C$5*income!$D$5)*L5)*1.05</f>
        <v>840</v>
      </c>
      <c r="M8" s="63">
        <f>((income!$C$5*income!$D$5)*M5)*1.05</f>
        <v>672</v>
      </c>
      <c r="N8" s="63">
        <f>((income!$C$5*income!$D$5)*N5)*1.05</f>
        <v>504</v>
      </c>
      <c r="O8" s="39">
        <f t="shared" si="1"/>
        <v>8064</v>
      </c>
      <c r="Q8" s="20"/>
    </row>
    <row r="9" spans="1:17" ht="15.75">
      <c r="A9" s="36"/>
      <c r="B9" s="37" t="s">
        <v>84</v>
      </c>
      <c r="C9" s="63">
        <f>((income!$C$6*income!$D$6)*C5)*1.05</f>
        <v>1008</v>
      </c>
      <c r="D9" s="63">
        <f>((income!$C$6*income!$D$6)*D5)*1.05</f>
        <v>1008</v>
      </c>
      <c r="E9" s="63">
        <f>((income!$C$6*income!$D$6)*E5)*1.05</f>
        <v>1008</v>
      </c>
      <c r="F9" s="63">
        <f>((income!$C$6*income!$D$6)*F5)*1.05</f>
        <v>1260</v>
      </c>
      <c r="G9" s="63">
        <f>((income!$C$6*income!$D$6)*G5)*1.05</f>
        <v>1008</v>
      </c>
      <c r="H9" s="63">
        <f>((income!$C$6*income!$D$6)*H5)*1.05</f>
        <v>1008</v>
      </c>
      <c r="I9" s="63">
        <f>((income!$C$6*income!$D$6)*I5)*1.05</f>
        <v>756</v>
      </c>
      <c r="J9" s="63">
        <f>((income!$C$6*income!$D$6)*J5)*1.05</f>
        <v>1008</v>
      </c>
      <c r="K9" s="63">
        <f>((income!$C$6*income!$D$6)*K5)*1.05</f>
        <v>1008</v>
      </c>
      <c r="L9" s="63">
        <f>((income!$C$6*income!$D$6)*L5)*1.05</f>
        <v>1260</v>
      </c>
      <c r="M9" s="63">
        <f>((income!$C$6*income!$D$6)*M5)*1.05</f>
        <v>1008</v>
      </c>
      <c r="N9" s="63">
        <f>((income!$C$6*income!$D$6)*N5)*1.05</f>
        <v>756</v>
      </c>
      <c r="O9" s="39">
        <f>SUM(C9:N9)</f>
        <v>12096</v>
      </c>
      <c r="P9" s="19"/>
      <c r="Q9" s="20"/>
    </row>
    <row r="10" spans="1:17" ht="15.75">
      <c r="A10" s="36"/>
      <c r="B10" s="37" t="s">
        <v>85</v>
      </c>
      <c r="C10" s="63">
        <f>((income!$C$7*income!$D$7)*C5)*1.05</f>
        <v>176.4</v>
      </c>
      <c r="D10" s="63">
        <f>((income!$C$7*income!$D$7)*D5)*1.05</f>
        <v>176.4</v>
      </c>
      <c r="E10" s="63">
        <f>((income!$C$7*income!$D$7)*E5)*1.05</f>
        <v>176.4</v>
      </c>
      <c r="F10" s="63">
        <f>((income!$C$7*income!$D$7)*F5)*1.05</f>
        <v>220.5</v>
      </c>
      <c r="G10" s="63">
        <f>((income!$C$7*income!$D$7)*G5)*1.05</f>
        <v>176.4</v>
      </c>
      <c r="H10" s="63">
        <f>((income!$C$7*income!$D$7)*H5)*1.05</f>
        <v>176.4</v>
      </c>
      <c r="I10" s="63">
        <f>((income!$C$7*income!$D$7)*I5)*1.05</f>
        <v>132.30000000000001</v>
      </c>
      <c r="J10" s="63">
        <f>((income!$C$7*income!$D$7)*J5)*1.05</f>
        <v>176.4</v>
      </c>
      <c r="K10" s="63">
        <f>((income!$C$7*income!$D$7)*K5)*1.05</f>
        <v>176.4</v>
      </c>
      <c r="L10" s="63">
        <f>((income!$C$7*income!$D$7)*L5)*1.05</f>
        <v>220.5</v>
      </c>
      <c r="M10" s="63">
        <f>((income!$C$7*income!$D$7)*M5)*1.05</f>
        <v>176.4</v>
      </c>
      <c r="N10" s="63">
        <f>((income!$C$7*income!$D$7)*N5)*1.05</f>
        <v>132.30000000000001</v>
      </c>
      <c r="O10" s="39">
        <f>SUM(C10:N10)</f>
        <v>2116.8000000000002</v>
      </c>
      <c r="P10" s="19"/>
      <c r="Q10" s="20"/>
    </row>
    <row r="11" spans="1:17" ht="16.5" thickBot="1">
      <c r="A11" s="36"/>
      <c r="B11" s="41" t="s">
        <v>86</v>
      </c>
      <c r="C11" s="64">
        <f>SUM(C6:C10)</f>
        <v>5132.3999999999996</v>
      </c>
      <c r="D11" s="64">
        <f t="shared" ref="D11:N11" si="2">SUM(D6:D10)</f>
        <v>5132.3999999999996</v>
      </c>
      <c r="E11" s="64">
        <f t="shared" si="2"/>
        <v>5132.3999999999996</v>
      </c>
      <c r="F11" s="64">
        <f t="shared" si="2"/>
        <v>6415.5</v>
      </c>
      <c r="G11" s="64">
        <f t="shared" si="2"/>
        <v>5132.3999999999996</v>
      </c>
      <c r="H11" s="64">
        <f t="shared" si="2"/>
        <v>5132.3999999999996</v>
      </c>
      <c r="I11" s="64">
        <f t="shared" si="2"/>
        <v>3849.3</v>
      </c>
      <c r="J11" s="64">
        <f t="shared" si="2"/>
        <v>5132.3999999999996</v>
      </c>
      <c r="K11" s="64">
        <f t="shared" si="2"/>
        <v>5132.3999999999996</v>
      </c>
      <c r="L11" s="64">
        <f t="shared" si="2"/>
        <v>6415.5</v>
      </c>
      <c r="M11" s="64">
        <f t="shared" si="2"/>
        <v>5132.3999999999996</v>
      </c>
      <c r="N11" s="64">
        <f t="shared" si="2"/>
        <v>3849.3</v>
      </c>
      <c r="O11" s="43">
        <f>SUM(O6:O10)</f>
        <v>61588.800000000003</v>
      </c>
      <c r="Q11" s="20"/>
    </row>
    <row r="12" spans="1:17" ht="15">
      <c r="A12" s="36"/>
      <c r="B12" s="40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9"/>
      <c r="Q12" s="20"/>
    </row>
    <row r="13" spans="1:17" ht="15.75">
      <c r="B13" s="11" t="s">
        <v>87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9">
        <f t="shared" ref="O4:O20" si="3">SUM(C13:N13)</f>
        <v>0</v>
      </c>
    </row>
    <row r="14" spans="1:17" ht="15.75">
      <c r="A14" s="36"/>
      <c r="B14" s="11" t="s">
        <v>87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9">
        <f t="shared" si="3"/>
        <v>0</v>
      </c>
    </row>
    <row r="15" spans="1:17" ht="15.75">
      <c r="A15" s="36"/>
      <c r="B15" s="44" t="s">
        <v>87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>
        <f t="shared" si="3"/>
        <v>0</v>
      </c>
    </row>
    <row r="16" spans="1:17" ht="16.5" thickBot="1">
      <c r="B16" s="45" t="s">
        <v>88</v>
      </c>
      <c r="C16" s="42">
        <f>SUM(C13:C15)</f>
        <v>0</v>
      </c>
      <c r="D16" s="42">
        <f t="shared" ref="D16:O16" si="4">SUM(D13:D15)</f>
        <v>0</v>
      </c>
      <c r="E16" s="42">
        <f>SUM(E13:E15)</f>
        <v>0</v>
      </c>
      <c r="F16" s="42">
        <f t="shared" si="4"/>
        <v>0</v>
      </c>
      <c r="G16" s="42">
        <f t="shared" si="4"/>
        <v>0</v>
      </c>
      <c r="H16" s="42">
        <f t="shared" si="4"/>
        <v>0</v>
      </c>
      <c r="I16" s="42">
        <f t="shared" si="4"/>
        <v>0</v>
      </c>
      <c r="J16" s="42">
        <f t="shared" si="4"/>
        <v>0</v>
      </c>
      <c r="K16" s="42">
        <f t="shared" si="4"/>
        <v>0</v>
      </c>
      <c r="L16" s="42">
        <f t="shared" si="4"/>
        <v>0</v>
      </c>
      <c r="M16" s="42">
        <f t="shared" si="4"/>
        <v>0</v>
      </c>
      <c r="N16" s="42">
        <f>SUM(N13:N15)</f>
        <v>0</v>
      </c>
      <c r="O16" s="43">
        <f t="shared" si="4"/>
        <v>0</v>
      </c>
    </row>
    <row r="17" spans="1:17" ht="15.75">
      <c r="A17" s="36"/>
      <c r="B17" s="44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9"/>
    </row>
    <row r="18" spans="1:17" ht="16.5" thickBot="1">
      <c r="A18" s="36"/>
      <c r="B18" s="46" t="s">
        <v>89</v>
      </c>
      <c r="C18" s="43">
        <f>C11+C16</f>
        <v>5132.3999999999996</v>
      </c>
      <c r="D18" s="43">
        <f t="shared" ref="D18:N18" si="5">D11+D16</f>
        <v>5132.3999999999996</v>
      </c>
      <c r="E18" s="43">
        <f t="shared" si="5"/>
        <v>5132.3999999999996</v>
      </c>
      <c r="F18" s="43">
        <f t="shared" si="5"/>
        <v>6415.5</v>
      </c>
      <c r="G18" s="43">
        <f t="shared" si="5"/>
        <v>5132.3999999999996</v>
      </c>
      <c r="H18" s="43">
        <f t="shared" si="5"/>
        <v>5132.3999999999996</v>
      </c>
      <c r="I18" s="43">
        <f t="shared" si="5"/>
        <v>3849.3</v>
      </c>
      <c r="J18" s="43">
        <f t="shared" si="5"/>
        <v>5132.3999999999996</v>
      </c>
      <c r="K18" s="43">
        <f t="shared" si="5"/>
        <v>5132.3999999999996</v>
      </c>
      <c r="L18" s="43">
        <f t="shared" si="5"/>
        <v>6415.5</v>
      </c>
      <c r="M18" s="43">
        <f t="shared" si="5"/>
        <v>5132.3999999999996</v>
      </c>
      <c r="N18" s="43">
        <f t="shared" si="5"/>
        <v>3849.3</v>
      </c>
      <c r="O18" s="43">
        <f>O11+O16</f>
        <v>61588.800000000003</v>
      </c>
    </row>
    <row r="19" spans="1:17" ht="15.75">
      <c r="A19" s="36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9"/>
    </row>
    <row r="20" spans="1:17" ht="15.75">
      <c r="A20" s="36" t="s">
        <v>55</v>
      </c>
      <c r="B20" s="11" t="s">
        <v>37</v>
      </c>
      <c r="C20" s="47">
        <f>'Potential funders'!$B$4/12</f>
        <v>83.333333333333329</v>
      </c>
      <c r="D20" s="47">
        <f>'Potential funders'!$B$4/12</f>
        <v>83.333333333333329</v>
      </c>
      <c r="E20" s="47">
        <f>'Potential funders'!$B$4/12</f>
        <v>83.333333333333329</v>
      </c>
      <c r="F20" s="47">
        <f>'Potential funders'!$B$4/12</f>
        <v>83.333333333333329</v>
      </c>
      <c r="G20" s="47">
        <f>'Potential funders'!$B$4/12</f>
        <v>83.333333333333329</v>
      </c>
      <c r="H20" s="47">
        <f>'Potential funders'!$B$4/12</f>
        <v>83.333333333333329</v>
      </c>
      <c r="I20" s="47">
        <f>'Potential funders'!$B$4/12</f>
        <v>83.333333333333329</v>
      </c>
      <c r="J20" s="47">
        <f>'Potential funders'!$B$4/12</f>
        <v>83.333333333333329</v>
      </c>
      <c r="K20" s="47">
        <f>'Potential funders'!$B$4/12</f>
        <v>83.333333333333329</v>
      </c>
      <c r="L20" s="47">
        <f>'Potential funders'!$B$4/12</f>
        <v>83.333333333333329</v>
      </c>
      <c r="M20" s="47">
        <f>'Potential funders'!$B$4/12</f>
        <v>83.333333333333329</v>
      </c>
      <c r="N20" s="47">
        <f>'Potential funders'!$B$4/12</f>
        <v>83.333333333333329</v>
      </c>
      <c r="O20" s="39">
        <f t="shared" si="3"/>
        <v>1000.0000000000001</v>
      </c>
    </row>
    <row r="21" spans="1:17" ht="15.75">
      <c r="B21" s="11" t="s">
        <v>39</v>
      </c>
      <c r="C21" s="38"/>
      <c r="D21" s="38"/>
      <c r="E21" s="38"/>
      <c r="F21" s="38"/>
      <c r="G21" s="38"/>
      <c r="H21" s="38"/>
      <c r="I21" s="38"/>
      <c r="J21" s="38"/>
      <c r="K21" s="38"/>
      <c r="L21" s="48"/>
      <c r="M21" s="38"/>
      <c r="N21" s="38"/>
      <c r="O21" s="39">
        <f>SUM(C21:N21)</f>
        <v>0</v>
      </c>
    </row>
    <row r="22" spans="1:17" ht="15.75">
      <c r="B22" s="11" t="s">
        <v>41</v>
      </c>
      <c r="C22" s="38">
        <f>'Potential funders'!$B$19/12</f>
        <v>875</v>
      </c>
      <c r="D22" s="38">
        <f>'Potential funders'!$B$19/12</f>
        <v>875</v>
      </c>
      <c r="E22" s="38">
        <f>'Potential funders'!$B$19/12</f>
        <v>875</v>
      </c>
      <c r="F22" s="38">
        <f>'Potential funders'!$B$19/12</f>
        <v>875</v>
      </c>
      <c r="G22" s="38">
        <f>'Potential funders'!$B$19/12</f>
        <v>875</v>
      </c>
      <c r="H22" s="38">
        <f>'Potential funders'!$B$19/12</f>
        <v>875</v>
      </c>
      <c r="I22" s="38">
        <f>'Potential funders'!$B$19/12</f>
        <v>875</v>
      </c>
      <c r="J22" s="38">
        <f>'Potential funders'!$B$19/12</f>
        <v>875</v>
      </c>
      <c r="K22" s="38">
        <f>'Potential funders'!$B$19/12</f>
        <v>875</v>
      </c>
      <c r="L22" s="38">
        <f>'Potential funders'!$B$19/12</f>
        <v>875</v>
      </c>
      <c r="M22" s="38">
        <f>'Potential funders'!$B$19/12</f>
        <v>875</v>
      </c>
      <c r="N22" s="38">
        <f>'Potential funders'!$B$19/12</f>
        <v>875</v>
      </c>
      <c r="O22" s="39">
        <f>SUM(C22:N22)</f>
        <v>10500</v>
      </c>
    </row>
    <row r="23" spans="1:17" ht="15.75">
      <c r="B23" s="11" t="s">
        <v>45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</row>
    <row r="24" spans="1:17" ht="16.5" thickBot="1">
      <c r="B24" s="49" t="s">
        <v>90</v>
      </c>
      <c r="C24" s="50">
        <f t="shared" ref="C24:O24" si="6">SUM(C20:C22)</f>
        <v>958.33333333333337</v>
      </c>
      <c r="D24" s="50">
        <f t="shared" si="6"/>
        <v>958.33333333333337</v>
      </c>
      <c r="E24" s="50">
        <f t="shared" si="6"/>
        <v>958.33333333333337</v>
      </c>
      <c r="F24" s="50">
        <f t="shared" si="6"/>
        <v>958.33333333333337</v>
      </c>
      <c r="G24" s="50">
        <f t="shared" si="6"/>
        <v>958.33333333333337</v>
      </c>
      <c r="H24" s="50">
        <f t="shared" si="6"/>
        <v>958.33333333333337</v>
      </c>
      <c r="I24" s="50">
        <f t="shared" si="6"/>
        <v>958.33333333333337</v>
      </c>
      <c r="J24" s="50">
        <f t="shared" si="6"/>
        <v>958.33333333333337</v>
      </c>
      <c r="K24" s="50">
        <f t="shared" si="6"/>
        <v>958.33333333333337</v>
      </c>
      <c r="L24" s="50">
        <f t="shared" si="6"/>
        <v>958.33333333333337</v>
      </c>
      <c r="M24" s="50">
        <f t="shared" si="6"/>
        <v>958.33333333333337</v>
      </c>
      <c r="N24" s="50">
        <f>SUM(N20:N22)</f>
        <v>958.33333333333337</v>
      </c>
      <c r="O24" s="50">
        <f t="shared" si="6"/>
        <v>11500</v>
      </c>
      <c r="Q24" s="21"/>
    </row>
    <row r="25" spans="1:17" ht="15.75">
      <c r="B25" s="1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</row>
    <row r="26" spans="1:17" ht="16.5" thickBot="1">
      <c r="B26" s="34" t="s">
        <v>91</v>
      </c>
      <c r="C26" s="35">
        <f>C18+C24</f>
        <v>6090.7333333333327</v>
      </c>
      <c r="D26" s="35">
        <f t="shared" ref="D26:N26" si="7">D18+D24</f>
        <v>6090.7333333333327</v>
      </c>
      <c r="E26" s="35">
        <f t="shared" si="7"/>
        <v>6090.7333333333327</v>
      </c>
      <c r="F26" s="35">
        <f t="shared" si="7"/>
        <v>7373.833333333333</v>
      </c>
      <c r="G26" s="35">
        <f t="shared" si="7"/>
        <v>6090.7333333333327</v>
      </c>
      <c r="H26" s="35">
        <f t="shared" si="7"/>
        <v>6090.7333333333327</v>
      </c>
      <c r="I26" s="35">
        <f t="shared" si="7"/>
        <v>4807.6333333333332</v>
      </c>
      <c r="J26" s="35">
        <f t="shared" si="7"/>
        <v>6090.7333333333327</v>
      </c>
      <c r="K26" s="35">
        <f t="shared" si="7"/>
        <v>6090.7333333333327</v>
      </c>
      <c r="L26" s="35">
        <f t="shared" si="7"/>
        <v>7373.833333333333</v>
      </c>
      <c r="M26" s="35">
        <f t="shared" si="7"/>
        <v>6090.7333333333327</v>
      </c>
      <c r="N26" s="35">
        <f t="shared" si="7"/>
        <v>4807.6333333333332</v>
      </c>
      <c r="O26" s="35">
        <f>SUM(O18+O24)</f>
        <v>73088.800000000003</v>
      </c>
    </row>
    <row r="27" spans="1:17" ht="16.5" thickTop="1">
      <c r="B27" s="1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2"/>
      <c r="P27" s="23"/>
    </row>
    <row r="28" spans="1:17" ht="15.75">
      <c r="A28" s="9" t="s">
        <v>92</v>
      </c>
      <c r="B28" s="11" t="s">
        <v>93</v>
      </c>
      <c r="C28" s="38">
        <v>20</v>
      </c>
      <c r="D28" s="38">
        <v>20</v>
      </c>
      <c r="E28" s="38">
        <v>20</v>
      </c>
      <c r="F28" s="38">
        <v>20</v>
      </c>
      <c r="G28" s="38">
        <v>20</v>
      </c>
      <c r="H28" s="38">
        <v>20</v>
      </c>
      <c r="I28" s="38">
        <v>20</v>
      </c>
      <c r="J28" s="38">
        <v>20</v>
      </c>
      <c r="K28" s="38">
        <v>20</v>
      </c>
      <c r="L28" s="38">
        <v>20</v>
      </c>
      <c r="M28" s="38">
        <v>20</v>
      </c>
      <c r="N28" s="38">
        <v>20</v>
      </c>
      <c r="O28" s="39">
        <f>SUM(C28:N28)</f>
        <v>240</v>
      </c>
      <c r="P28" s="24"/>
      <c r="Q28" s="24"/>
    </row>
    <row r="29" spans="1:17" ht="15.75">
      <c r="B29" s="11" t="s">
        <v>94</v>
      </c>
      <c r="C29" s="38">
        <v>22</v>
      </c>
      <c r="D29" s="38">
        <v>22</v>
      </c>
      <c r="E29" s="38">
        <v>22</v>
      </c>
      <c r="F29" s="38">
        <v>22</v>
      </c>
      <c r="G29" s="38">
        <v>22</v>
      </c>
      <c r="H29" s="38">
        <v>22</v>
      </c>
      <c r="I29" s="38">
        <v>22</v>
      </c>
      <c r="J29" s="38">
        <v>22</v>
      </c>
      <c r="K29" s="38">
        <v>22</v>
      </c>
      <c r="L29" s="38">
        <v>22</v>
      </c>
      <c r="M29" s="38">
        <v>22</v>
      </c>
      <c r="N29" s="38">
        <v>22</v>
      </c>
      <c r="O29" s="39">
        <f t="shared" ref="O29:O44" si="8">SUM(C29:N29)</f>
        <v>264</v>
      </c>
      <c r="P29" s="23"/>
    </row>
    <row r="30" spans="1:17" ht="15.75">
      <c r="B30" s="11" t="s">
        <v>95</v>
      </c>
      <c r="C30" s="38">
        <f>[1]Expenses!$P$23</f>
        <v>0</v>
      </c>
      <c r="D30" s="38">
        <f>[1]Expenses!$P$23</f>
        <v>0</v>
      </c>
      <c r="E30" s="38">
        <f>[1]Expenses!$P$23</f>
        <v>0</v>
      </c>
      <c r="F30" s="38">
        <f>[1]Expenses!$P$23</f>
        <v>0</v>
      </c>
      <c r="G30" s="38">
        <f>[1]Expenses!$P$23</f>
        <v>0</v>
      </c>
      <c r="H30" s="38">
        <f>[1]Expenses!$P$23</f>
        <v>0</v>
      </c>
      <c r="I30" s="38">
        <f>[1]Expenses!$P$23</f>
        <v>0</v>
      </c>
      <c r="J30" s="38">
        <f>[1]Expenses!$P$23</f>
        <v>0</v>
      </c>
      <c r="K30" s="38">
        <f>[1]Expenses!$P$23</f>
        <v>0</v>
      </c>
      <c r="L30" s="38">
        <f>[1]Expenses!$P$23</f>
        <v>0</v>
      </c>
      <c r="M30" s="38">
        <f>[1]Expenses!$P$23</f>
        <v>0</v>
      </c>
      <c r="N30" s="38">
        <f>[1]Expenses!$P$23</f>
        <v>0</v>
      </c>
      <c r="O30" s="39">
        <f t="shared" si="8"/>
        <v>0</v>
      </c>
    </row>
    <row r="31" spans="1:17" ht="15.75">
      <c r="B31" s="11" t="s">
        <v>96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9">
        <f t="shared" si="8"/>
        <v>0</v>
      </c>
    </row>
    <row r="32" spans="1:17" ht="15.75">
      <c r="B32" s="11" t="s">
        <v>97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9">
        <f t="shared" si="8"/>
        <v>0</v>
      </c>
    </row>
    <row r="33" spans="1:17" ht="15.75">
      <c r="B33" s="11" t="s">
        <v>98</v>
      </c>
      <c r="C33" s="38">
        <f>(expenses!$D$11/12)*1.05</f>
        <v>2275</v>
      </c>
      <c r="D33" s="38">
        <f>(expenses!$D$11/12)*1.05</f>
        <v>2275</v>
      </c>
      <c r="E33" s="38">
        <f>(expenses!$D$11/12)*1.05</f>
        <v>2275</v>
      </c>
      <c r="F33" s="38">
        <f>(expenses!$D$11/12)*1.05</f>
        <v>2275</v>
      </c>
      <c r="G33" s="38">
        <f>(expenses!$D$11/12)*1.05</f>
        <v>2275</v>
      </c>
      <c r="H33" s="38">
        <f>(expenses!$D$11/12)*1.05</f>
        <v>2275</v>
      </c>
      <c r="I33" s="38">
        <f>(expenses!$D$11/12)*1.05</f>
        <v>2275</v>
      </c>
      <c r="J33" s="38">
        <f>(expenses!$D$11/12)*1.05</f>
        <v>2275</v>
      </c>
      <c r="K33" s="38">
        <f>(expenses!$D$11/12)*1.05</f>
        <v>2275</v>
      </c>
      <c r="L33" s="38">
        <f>(expenses!$D$11/12)*1.05</f>
        <v>2275</v>
      </c>
      <c r="M33" s="38">
        <f>(expenses!$D$11/12)*1.05</f>
        <v>2275</v>
      </c>
      <c r="N33" s="38">
        <f>(expenses!$D$11/12)*1.05</f>
        <v>2275</v>
      </c>
      <c r="O33" s="39">
        <f t="shared" si="8"/>
        <v>27300</v>
      </c>
    </row>
    <row r="34" spans="1:17" ht="15.75">
      <c r="B34" s="11" t="s">
        <v>99</v>
      </c>
      <c r="C34" s="38">
        <f>(expenses!$D$16/12)*1.05</f>
        <v>87.5</v>
      </c>
      <c r="D34" s="38">
        <f>(expenses!$D$16/12)*1.05</f>
        <v>87.5</v>
      </c>
      <c r="E34" s="38">
        <f>(expenses!$D$16/12)*1.05</f>
        <v>87.5</v>
      </c>
      <c r="F34" s="38">
        <f>(expenses!$D$16/12)*1.05</f>
        <v>87.5</v>
      </c>
      <c r="G34" s="38">
        <f>(expenses!$D$16/12)*1.05</f>
        <v>87.5</v>
      </c>
      <c r="H34" s="38">
        <f>(expenses!$D$16/12)*1.05</f>
        <v>87.5</v>
      </c>
      <c r="I34" s="38">
        <f>(expenses!$D$16/12)*1.05</f>
        <v>87.5</v>
      </c>
      <c r="J34" s="38">
        <f>(expenses!$D$16/12)*1.05</f>
        <v>87.5</v>
      </c>
      <c r="K34" s="38">
        <f>(expenses!$D$16/12)*1.05</f>
        <v>87.5</v>
      </c>
      <c r="L34" s="38">
        <f>(expenses!$D$16/12)*1.05</f>
        <v>87.5</v>
      </c>
      <c r="M34" s="38">
        <f>(expenses!$D$16/12)*1.05</f>
        <v>87.5</v>
      </c>
      <c r="N34" s="38">
        <f>(expenses!$D$16/12)*1.05</f>
        <v>87.5</v>
      </c>
      <c r="O34" s="39">
        <f t="shared" si="8"/>
        <v>1050</v>
      </c>
    </row>
    <row r="35" spans="1:17" ht="15.75">
      <c r="B35" s="11" t="s">
        <v>100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9">
        <f t="shared" si="8"/>
        <v>0</v>
      </c>
    </row>
    <row r="36" spans="1:17" ht="15.75">
      <c r="B36" s="11" t="s">
        <v>101</v>
      </c>
      <c r="C36" s="38">
        <v>50</v>
      </c>
      <c r="D36" s="38">
        <v>50</v>
      </c>
      <c r="E36" s="38">
        <v>50</v>
      </c>
      <c r="F36" s="38">
        <v>50</v>
      </c>
      <c r="G36" s="38">
        <v>50</v>
      </c>
      <c r="H36" s="38">
        <v>50</v>
      </c>
      <c r="I36" s="38">
        <v>50</v>
      </c>
      <c r="J36" s="38">
        <v>50</v>
      </c>
      <c r="K36" s="38">
        <v>50</v>
      </c>
      <c r="L36" s="38">
        <v>50</v>
      </c>
      <c r="M36" s="38">
        <v>50</v>
      </c>
      <c r="N36" s="38">
        <v>50</v>
      </c>
      <c r="O36" s="39">
        <f t="shared" si="8"/>
        <v>600</v>
      </c>
    </row>
    <row r="37" spans="1:17" ht="15.75">
      <c r="B37" s="11" t="s">
        <v>102</v>
      </c>
      <c r="C37" s="38">
        <f>1000/12</f>
        <v>83.333333333333329</v>
      </c>
      <c r="D37" s="38">
        <f t="shared" ref="D37:N37" si="9">1000/12</f>
        <v>83.333333333333329</v>
      </c>
      <c r="E37" s="38">
        <f t="shared" si="9"/>
        <v>83.333333333333329</v>
      </c>
      <c r="F37" s="38">
        <f t="shared" si="9"/>
        <v>83.333333333333329</v>
      </c>
      <c r="G37" s="38">
        <f t="shared" si="9"/>
        <v>83.333333333333329</v>
      </c>
      <c r="H37" s="38">
        <f t="shared" si="9"/>
        <v>83.333333333333329</v>
      </c>
      <c r="I37" s="38">
        <f t="shared" si="9"/>
        <v>83.333333333333329</v>
      </c>
      <c r="J37" s="38">
        <f t="shared" si="9"/>
        <v>83.333333333333329</v>
      </c>
      <c r="K37" s="38">
        <f t="shared" si="9"/>
        <v>83.333333333333329</v>
      </c>
      <c r="L37" s="38">
        <f t="shared" si="9"/>
        <v>83.333333333333329</v>
      </c>
      <c r="M37" s="38">
        <f t="shared" si="9"/>
        <v>83.333333333333329</v>
      </c>
      <c r="N37" s="38">
        <f t="shared" si="9"/>
        <v>83.333333333333329</v>
      </c>
      <c r="O37" s="39">
        <f t="shared" si="8"/>
        <v>1000.0000000000001</v>
      </c>
    </row>
    <row r="38" spans="1:17" ht="15.75">
      <c r="B38" s="11" t="s">
        <v>16</v>
      </c>
      <c r="C38" s="38">
        <f>expenses!$D$14/12</f>
        <v>83.333333333333329</v>
      </c>
      <c r="D38" s="38">
        <f>expenses!$D$14/12</f>
        <v>83.333333333333329</v>
      </c>
      <c r="E38" s="38">
        <f>expenses!$D$14/12</f>
        <v>83.333333333333329</v>
      </c>
      <c r="F38" s="38">
        <f>expenses!$D$14/12</f>
        <v>83.333333333333329</v>
      </c>
      <c r="G38" s="38">
        <f>expenses!$D$14/12</f>
        <v>83.333333333333329</v>
      </c>
      <c r="H38" s="38">
        <f>expenses!$D$14/12</f>
        <v>83.333333333333329</v>
      </c>
      <c r="I38" s="38">
        <f>expenses!$D$14/12</f>
        <v>83.333333333333329</v>
      </c>
      <c r="J38" s="38">
        <f>expenses!$D$14/12</f>
        <v>83.333333333333329</v>
      </c>
      <c r="K38" s="38">
        <f>expenses!$D$14/12</f>
        <v>83.333333333333329</v>
      </c>
      <c r="L38" s="38">
        <f>expenses!$D$14/12</f>
        <v>83.333333333333329</v>
      </c>
      <c r="M38" s="38">
        <f>expenses!$D$14/12</f>
        <v>83.333333333333329</v>
      </c>
      <c r="N38" s="38">
        <f>expenses!$D$14/12</f>
        <v>83.333333333333329</v>
      </c>
      <c r="O38" s="39">
        <f t="shared" si="8"/>
        <v>1000.0000000000001</v>
      </c>
    </row>
    <row r="39" spans="1:17" ht="15.75">
      <c r="B39" s="11" t="s">
        <v>103</v>
      </c>
      <c r="C39" s="38">
        <f>expenses!$D$12/12</f>
        <v>300</v>
      </c>
      <c r="D39" s="38">
        <f>expenses!$D$12/12</f>
        <v>300</v>
      </c>
      <c r="E39" s="38">
        <f>expenses!$D$12/12</f>
        <v>300</v>
      </c>
      <c r="F39" s="38">
        <f>expenses!$D$12/12</f>
        <v>300</v>
      </c>
      <c r="G39" s="38">
        <f>expenses!$D$12/12</f>
        <v>300</v>
      </c>
      <c r="H39" s="38">
        <f>expenses!$D$12/12</f>
        <v>300</v>
      </c>
      <c r="I39" s="38">
        <f>expenses!$D$12/12</f>
        <v>300</v>
      </c>
      <c r="J39" s="38">
        <f>expenses!$D$12/12</f>
        <v>300</v>
      </c>
      <c r="K39" s="38">
        <f>expenses!$D$12/12</f>
        <v>300</v>
      </c>
      <c r="L39" s="38">
        <f>expenses!$D$12/12</f>
        <v>300</v>
      </c>
      <c r="M39" s="38">
        <f>expenses!$D$12/12</f>
        <v>300</v>
      </c>
      <c r="N39" s="38">
        <f>expenses!$D$12/12</f>
        <v>300</v>
      </c>
      <c r="O39" s="39">
        <f t="shared" si="8"/>
        <v>3600</v>
      </c>
    </row>
    <row r="40" spans="1:17" ht="15.75">
      <c r="B40" s="11" t="s">
        <v>14</v>
      </c>
      <c r="C40" s="38">
        <f>expenses!$D$13/12</f>
        <v>250</v>
      </c>
      <c r="D40" s="38">
        <f>expenses!$D$13/12</f>
        <v>250</v>
      </c>
      <c r="E40" s="38">
        <f>expenses!$D$13/12</f>
        <v>250</v>
      </c>
      <c r="F40" s="38">
        <f>expenses!$D$13/12</f>
        <v>250</v>
      </c>
      <c r="G40" s="38">
        <f>expenses!$D$13/12</f>
        <v>250</v>
      </c>
      <c r="H40" s="38">
        <f>expenses!$D$13/12</f>
        <v>250</v>
      </c>
      <c r="I40" s="38">
        <f>expenses!$D$13/12</f>
        <v>250</v>
      </c>
      <c r="J40" s="38">
        <f>expenses!$D$13/12</f>
        <v>250</v>
      </c>
      <c r="K40" s="38">
        <f>expenses!$D$13/12</f>
        <v>250</v>
      </c>
      <c r="L40" s="38">
        <f>expenses!$D$13/12</f>
        <v>250</v>
      </c>
      <c r="M40" s="38">
        <f>expenses!$D$13/12</f>
        <v>250</v>
      </c>
      <c r="N40" s="38">
        <f>expenses!$D$13/12</f>
        <v>250</v>
      </c>
      <c r="O40" s="39">
        <f t="shared" si="8"/>
        <v>3000</v>
      </c>
    </row>
    <row r="41" spans="1:17" ht="15.75">
      <c r="B41" s="11" t="s">
        <v>18</v>
      </c>
      <c r="C41" s="38">
        <f>expenses!$D$15/12</f>
        <v>50</v>
      </c>
      <c r="D41" s="38">
        <f>expenses!$D$15/12</f>
        <v>50</v>
      </c>
      <c r="E41" s="38">
        <f>expenses!$D$15/12</f>
        <v>50</v>
      </c>
      <c r="F41" s="38">
        <f>expenses!$D$15/12</f>
        <v>50</v>
      </c>
      <c r="G41" s="38">
        <f>expenses!$D$15/12</f>
        <v>50</v>
      </c>
      <c r="H41" s="38">
        <f>expenses!$D$15/12</f>
        <v>50</v>
      </c>
      <c r="I41" s="38">
        <f>expenses!$D$15/12</f>
        <v>50</v>
      </c>
      <c r="J41" s="38">
        <f>expenses!$D$15/12</f>
        <v>50</v>
      </c>
      <c r="K41" s="38">
        <f>expenses!$D$15/12</f>
        <v>50</v>
      </c>
      <c r="L41" s="38">
        <f>expenses!$D$15/12</f>
        <v>50</v>
      </c>
      <c r="M41" s="38">
        <f>expenses!$D$15/12</f>
        <v>50</v>
      </c>
      <c r="N41" s="38">
        <f>expenses!$D$15/12</f>
        <v>50</v>
      </c>
      <c r="O41" s="39">
        <f t="shared" si="8"/>
        <v>600</v>
      </c>
    </row>
    <row r="42" spans="1:17" ht="15.75">
      <c r="B42" s="11" t="s">
        <v>104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9">
        <f t="shared" si="8"/>
        <v>0</v>
      </c>
    </row>
    <row r="43" spans="1:17" ht="15.75">
      <c r="B43" s="11" t="s">
        <v>105</v>
      </c>
      <c r="C43" s="38">
        <v>15</v>
      </c>
      <c r="D43" s="38">
        <v>15</v>
      </c>
      <c r="E43" s="38">
        <v>15</v>
      </c>
      <c r="F43" s="38">
        <v>15</v>
      </c>
      <c r="G43" s="38">
        <v>15</v>
      </c>
      <c r="H43" s="38">
        <v>15</v>
      </c>
      <c r="I43" s="38">
        <v>15</v>
      </c>
      <c r="J43" s="38">
        <v>15</v>
      </c>
      <c r="K43" s="38">
        <v>15</v>
      </c>
      <c r="L43" s="38">
        <v>15</v>
      </c>
      <c r="M43" s="38">
        <v>15</v>
      </c>
      <c r="N43" s="38">
        <v>15</v>
      </c>
      <c r="O43" s="39">
        <f t="shared" si="8"/>
        <v>180</v>
      </c>
    </row>
    <row r="44" spans="1:17" ht="15.75">
      <c r="B44" s="11" t="s">
        <v>106</v>
      </c>
      <c r="C44" s="38">
        <f>expenses!$D$17/12</f>
        <v>16</v>
      </c>
      <c r="D44" s="38">
        <f>expenses!$D$17/12</f>
        <v>16</v>
      </c>
      <c r="E44" s="38">
        <f>(expenses!$D$17/12)+20</f>
        <v>36</v>
      </c>
      <c r="F44" s="38">
        <f>expenses!$D$17/12</f>
        <v>16</v>
      </c>
      <c r="G44" s="38">
        <f>expenses!$D$17/12</f>
        <v>16</v>
      </c>
      <c r="H44" s="38">
        <f>expenses!$D$17/12</f>
        <v>16</v>
      </c>
      <c r="I44" s="38">
        <f>expenses!$D$17/12</f>
        <v>16</v>
      </c>
      <c r="J44" s="38">
        <f>expenses!$D$17/12</f>
        <v>16</v>
      </c>
      <c r="K44" s="38">
        <f>expenses!$D$17/12</f>
        <v>16</v>
      </c>
      <c r="L44" s="38">
        <f>expenses!$D$17/12</f>
        <v>16</v>
      </c>
      <c r="M44" s="38">
        <f>expenses!$D$17/12</f>
        <v>16</v>
      </c>
      <c r="N44" s="38">
        <f>expenses!$D$17/12</f>
        <v>16</v>
      </c>
      <c r="O44" s="39">
        <f t="shared" si="8"/>
        <v>212</v>
      </c>
    </row>
    <row r="45" spans="1:17" ht="15.75">
      <c r="B45" s="11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9"/>
    </row>
    <row r="46" spans="1:17" ht="16.5" thickBot="1">
      <c r="B46" s="53" t="s">
        <v>107</v>
      </c>
      <c r="C46" s="54">
        <f t="shared" ref="C46:O46" si="10">SUM(C28:C45)</f>
        <v>3252.166666666667</v>
      </c>
      <c r="D46" s="54">
        <f t="shared" si="10"/>
        <v>3252.166666666667</v>
      </c>
      <c r="E46" s="54">
        <f t="shared" si="10"/>
        <v>3272.166666666667</v>
      </c>
      <c r="F46" s="54">
        <f t="shared" si="10"/>
        <v>3252.166666666667</v>
      </c>
      <c r="G46" s="54">
        <f t="shared" si="10"/>
        <v>3252.166666666667</v>
      </c>
      <c r="H46" s="54">
        <f t="shared" si="10"/>
        <v>3252.166666666667</v>
      </c>
      <c r="I46" s="54">
        <f t="shared" si="10"/>
        <v>3252.166666666667</v>
      </c>
      <c r="J46" s="54">
        <f t="shared" si="10"/>
        <v>3252.166666666667</v>
      </c>
      <c r="K46" s="54">
        <f t="shared" si="10"/>
        <v>3252.166666666667</v>
      </c>
      <c r="L46" s="54">
        <f t="shared" si="10"/>
        <v>3252.166666666667</v>
      </c>
      <c r="M46" s="54">
        <f t="shared" si="10"/>
        <v>3252.166666666667</v>
      </c>
      <c r="N46" s="54">
        <f t="shared" si="10"/>
        <v>3252.166666666667</v>
      </c>
      <c r="O46" s="54">
        <f t="shared" si="10"/>
        <v>39046</v>
      </c>
      <c r="Q46" s="20"/>
    </row>
    <row r="47" spans="1:17" ht="16.5" thickTop="1">
      <c r="B47" s="11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</row>
    <row r="48" spans="1:17" s="17" customFormat="1" ht="16.5" thickBot="1">
      <c r="A48" s="9" t="s">
        <v>108</v>
      </c>
      <c r="B48" s="55" t="s">
        <v>109</v>
      </c>
      <c r="C48" s="56">
        <f t="shared" ref="C48:N48" si="11">SUM(C18-C46)</f>
        <v>1880.2333333333327</v>
      </c>
      <c r="D48" s="56">
        <f t="shared" si="11"/>
        <v>1880.2333333333327</v>
      </c>
      <c r="E48" s="56">
        <f t="shared" si="11"/>
        <v>1860.2333333333327</v>
      </c>
      <c r="F48" s="56">
        <f t="shared" si="11"/>
        <v>3163.333333333333</v>
      </c>
      <c r="G48" s="56">
        <f t="shared" si="11"/>
        <v>1880.2333333333327</v>
      </c>
      <c r="H48" s="56">
        <f t="shared" si="11"/>
        <v>1880.2333333333327</v>
      </c>
      <c r="I48" s="56">
        <f t="shared" si="11"/>
        <v>597.13333333333321</v>
      </c>
      <c r="J48" s="56">
        <f t="shared" si="11"/>
        <v>1880.2333333333327</v>
      </c>
      <c r="K48" s="56">
        <f t="shared" si="11"/>
        <v>1880.2333333333327</v>
      </c>
      <c r="L48" s="56">
        <f t="shared" si="11"/>
        <v>3163.333333333333</v>
      </c>
      <c r="M48" s="56">
        <f t="shared" si="11"/>
        <v>1880.2333333333327</v>
      </c>
      <c r="N48" s="56">
        <f t="shared" si="11"/>
        <v>597.13333333333321</v>
      </c>
      <c r="O48" s="56">
        <f>O26-O46</f>
        <v>34042.800000000003</v>
      </c>
    </row>
    <row r="49" spans="1:15" ht="15.75">
      <c r="B49" s="1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</row>
    <row r="50" spans="1:15" ht="15.75">
      <c r="A50" s="9" t="s">
        <v>60</v>
      </c>
      <c r="B50" s="75" t="s">
        <v>110</v>
      </c>
      <c r="C50" s="76">
        <f>C18-C46</f>
        <v>1880.2333333333327</v>
      </c>
      <c r="D50" s="76">
        <f t="shared" ref="D50:O50" si="12">D18-D46</f>
        <v>1880.2333333333327</v>
      </c>
      <c r="E50" s="76">
        <f t="shared" si="12"/>
        <v>1860.2333333333327</v>
      </c>
      <c r="F50" s="76">
        <f t="shared" si="12"/>
        <v>3163.333333333333</v>
      </c>
      <c r="G50" s="76">
        <f t="shared" si="12"/>
        <v>1880.2333333333327</v>
      </c>
      <c r="H50" s="76">
        <f t="shared" si="12"/>
        <v>1880.2333333333327</v>
      </c>
      <c r="I50" s="76">
        <f t="shared" si="12"/>
        <v>597.13333333333321</v>
      </c>
      <c r="J50" s="76">
        <f t="shared" si="12"/>
        <v>1880.2333333333327</v>
      </c>
      <c r="K50" s="76">
        <f t="shared" si="12"/>
        <v>1880.2333333333327</v>
      </c>
      <c r="L50" s="76">
        <f t="shared" si="12"/>
        <v>3163.333333333333</v>
      </c>
      <c r="M50" s="76">
        <f t="shared" si="12"/>
        <v>1880.2333333333327</v>
      </c>
      <c r="N50" s="76">
        <f t="shared" si="12"/>
        <v>597.13333333333321</v>
      </c>
      <c r="O50" s="77">
        <f t="shared" si="12"/>
        <v>22542.800000000003</v>
      </c>
    </row>
    <row r="51" spans="1:15" ht="15.75">
      <c r="B51" s="58" t="s">
        <v>111</v>
      </c>
      <c r="C51" s="59">
        <f t="shared" ref="C51:O51" si="13">C26-C46</f>
        <v>2838.5666666666657</v>
      </c>
      <c r="D51" s="59">
        <f t="shared" si="13"/>
        <v>2838.5666666666657</v>
      </c>
      <c r="E51" s="59">
        <f t="shared" si="13"/>
        <v>2818.5666666666657</v>
      </c>
      <c r="F51" s="59">
        <f t="shared" si="13"/>
        <v>4121.6666666666661</v>
      </c>
      <c r="G51" s="59">
        <f t="shared" si="13"/>
        <v>2838.5666666666657</v>
      </c>
      <c r="H51" s="59">
        <f t="shared" si="13"/>
        <v>2838.5666666666657</v>
      </c>
      <c r="I51" s="59">
        <f t="shared" si="13"/>
        <v>1555.4666666666662</v>
      </c>
      <c r="J51" s="59">
        <f t="shared" si="13"/>
        <v>2838.5666666666657</v>
      </c>
      <c r="K51" s="59">
        <f t="shared" si="13"/>
        <v>2838.5666666666657</v>
      </c>
      <c r="L51" s="59">
        <f t="shared" si="13"/>
        <v>4121.6666666666661</v>
      </c>
      <c r="M51" s="59">
        <f t="shared" si="13"/>
        <v>2838.5666666666657</v>
      </c>
      <c r="N51" s="59">
        <f t="shared" si="13"/>
        <v>1555.4666666666662</v>
      </c>
      <c r="O51" s="60">
        <f t="shared" si="13"/>
        <v>34042.800000000003</v>
      </c>
    </row>
    <row r="52" spans="1:15" ht="15.75">
      <c r="B52" s="11"/>
    </row>
    <row r="53" spans="1:15" ht="15.75">
      <c r="B53" s="11"/>
    </row>
    <row r="54" spans="1:15" ht="15.75">
      <c r="B54" s="11"/>
    </row>
    <row r="55" spans="1:15" ht="15.75">
      <c r="B55" s="11"/>
    </row>
    <row r="56" spans="1:15" ht="15.75">
      <c r="B56" s="11"/>
    </row>
    <row r="57" spans="1:15" ht="15.75">
      <c r="B57" s="11"/>
    </row>
    <row r="58" spans="1:15" ht="15.75">
      <c r="B58" s="11"/>
    </row>
    <row r="59" spans="1:15" ht="15.75">
      <c r="B59" s="11"/>
    </row>
    <row r="60" spans="1:15" ht="15.75">
      <c r="B60" s="11"/>
    </row>
    <row r="61" spans="1:15" ht="15.75">
      <c r="B61" s="11"/>
    </row>
    <row r="62" spans="1:15" ht="15.75">
      <c r="B62" s="11"/>
    </row>
    <row r="63" spans="1:15" ht="15.75">
      <c r="B63" s="11"/>
    </row>
    <row r="64" spans="1:15" ht="15.75">
      <c r="B64" s="11"/>
    </row>
    <row r="65" spans="2:2" ht="15.75">
      <c r="B65" s="11"/>
    </row>
    <row r="66" spans="2:2" ht="15.75">
      <c r="B66" s="11"/>
    </row>
    <row r="67" spans="2:2" ht="15.75">
      <c r="B67" s="11"/>
    </row>
    <row r="68" spans="2:2" ht="15.75">
      <c r="B68" s="11"/>
    </row>
    <row r="69" spans="2:2" ht="15.75">
      <c r="B69" s="11"/>
    </row>
    <row r="70" spans="2:2" ht="15.75">
      <c r="B70" s="11"/>
    </row>
    <row r="71" spans="2:2" ht="15.75">
      <c r="B71" s="11"/>
    </row>
    <row r="72" spans="2:2" ht="15.75">
      <c r="B72" s="11"/>
    </row>
    <row r="73" spans="2:2" ht="15.75">
      <c r="B73" s="11"/>
    </row>
    <row r="74" spans="2:2" ht="15.75">
      <c r="B74" s="11"/>
    </row>
    <row r="75" spans="2:2" ht="15.75">
      <c r="B75" s="11"/>
    </row>
    <row r="76" spans="2:2" ht="15.75">
      <c r="B76" s="11"/>
    </row>
    <row r="77" spans="2:2" ht="15.75">
      <c r="B77" s="11"/>
    </row>
    <row r="78" spans="2:2" ht="15.75">
      <c r="B78" s="11"/>
    </row>
    <row r="79" spans="2:2" ht="15.75">
      <c r="B79" s="11"/>
    </row>
    <row r="80" spans="2:2" ht="15.75">
      <c r="B80" s="11"/>
    </row>
    <row r="81" spans="2:2" ht="15.75">
      <c r="B81" s="11"/>
    </row>
    <row r="82" spans="2:2" ht="15.75">
      <c r="B82" s="11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ED09B-DFF3-41E2-8832-395141420611}">
  <sheetPr>
    <tabColor theme="9" tint="0.39997558519241921"/>
  </sheetPr>
  <dimension ref="A1:Q82"/>
  <sheetViews>
    <sheetView zoomScale="90" zoomScaleNormal="90" workbookViewId="0">
      <pane ySplit="2" topLeftCell="A26" activePane="bottomLeft" state="frozen"/>
      <selection pane="bottomLeft" activeCell="C40" sqref="C40"/>
    </sheetView>
  </sheetViews>
  <sheetFormatPr defaultColWidth="8.85546875" defaultRowHeight="12.75"/>
  <cols>
    <col min="1" max="1" width="21.42578125" style="10" customWidth="1"/>
    <col min="2" max="2" width="48.42578125" style="10" customWidth="1"/>
    <col min="3" max="3" width="12.42578125" style="10" customWidth="1"/>
    <col min="4" max="4" width="11.140625" style="10" bestFit="1" customWidth="1"/>
    <col min="5" max="5" width="11" style="10" customWidth="1"/>
    <col min="6" max="14" width="11.140625" style="10" bestFit="1" customWidth="1"/>
    <col min="15" max="15" width="12.7109375" style="10" bestFit="1" customWidth="1"/>
    <col min="16" max="16" width="10.140625" bestFit="1" customWidth="1"/>
    <col min="17" max="17" width="11.140625" bestFit="1" customWidth="1"/>
  </cols>
  <sheetData>
    <row r="1" spans="1:17" s="80" customFormat="1" ht="42.75" customHeight="1">
      <c r="A1" s="78" t="s">
        <v>114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7" ht="15.75">
      <c r="A2" s="9" t="s">
        <v>64</v>
      </c>
      <c r="C2" s="61" t="s">
        <v>65</v>
      </c>
      <c r="D2" s="61" t="s">
        <v>66</v>
      </c>
      <c r="E2" s="61" t="s">
        <v>67</v>
      </c>
      <c r="F2" s="61" t="s">
        <v>68</v>
      </c>
      <c r="G2" s="61" t="s">
        <v>69</v>
      </c>
      <c r="H2" s="61" t="s">
        <v>70</v>
      </c>
      <c r="I2" s="61" t="s">
        <v>71</v>
      </c>
      <c r="J2" s="61" t="s">
        <v>72</v>
      </c>
      <c r="K2" s="61" t="s">
        <v>73</v>
      </c>
      <c r="L2" s="61" t="s">
        <v>74</v>
      </c>
      <c r="M2" s="61" t="s">
        <v>75</v>
      </c>
      <c r="N2" s="61" t="s">
        <v>76</v>
      </c>
      <c r="O2" s="62" t="s">
        <v>77</v>
      </c>
    </row>
    <row r="3" spans="1:17" ht="15">
      <c r="O3" s="36"/>
    </row>
    <row r="4" spans="1:17" ht="15.75">
      <c r="A4" s="36" t="s">
        <v>78</v>
      </c>
      <c r="B4" s="83" t="s">
        <v>79</v>
      </c>
      <c r="C4" s="81">
        <f>(income!$C$3*income!$D$3*1.05)*1.05</f>
        <v>264.60000000000002</v>
      </c>
      <c r="D4" s="81">
        <f>(income!$C$3*income!$D$3*1.05)*1.05</f>
        <v>264.60000000000002</v>
      </c>
      <c r="E4" s="81">
        <f>(income!$C$3*income!$D$3*1.05)*1.05</f>
        <v>264.60000000000002</v>
      </c>
      <c r="F4" s="81">
        <f>(income!$C$3*income!$D$3*1.05)*1.05</f>
        <v>264.60000000000002</v>
      </c>
      <c r="G4" s="81">
        <f>(income!$C$3*income!$D$3*1.05)*1.05</f>
        <v>264.60000000000002</v>
      </c>
      <c r="H4" s="81">
        <f>(income!$C$3*income!$D$3*1.05)*1.05</f>
        <v>264.60000000000002</v>
      </c>
      <c r="I4" s="81">
        <f>(income!$C$3*income!$D$3*1.05)*1.05</f>
        <v>264.60000000000002</v>
      </c>
      <c r="J4" s="81">
        <f>(income!$C$3*income!$D$3*1.05)*1.05</f>
        <v>264.60000000000002</v>
      </c>
      <c r="K4" s="81">
        <f>(income!$C$3*income!$D$3*1.05)*1.05</f>
        <v>264.60000000000002</v>
      </c>
      <c r="L4" s="81">
        <f>(income!$C$3*income!$D$3*1.05)*1.05</f>
        <v>264.60000000000002</v>
      </c>
      <c r="M4" s="81">
        <f>(income!$C$3*income!$D$3*1.05)*1.05</f>
        <v>264.60000000000002</v>
      </c>
      <c r="N4" s="81">
        <f>(income!$C$3*income!$D$3*1.05)*1.05</f>
        <v>264.60000000000002</v>
      </c>
      <c r="O4" s="82">
        <f>SUM(C4:N4)</f>
        <v>3175.1999999999994</v>
      </c>
      <c r="P4" s="18"/>
    </row>
    <row r="5" spans="1:17" ht="15">
      <c r="A5" s="36"/>
      <c r="B5" s="40" t="s">
        <v>80</v>
      </c>
      <c r="C5" s="38">
        <v>4</v>
      </c>
      <c r="D5" s="38">
        <v>4</v>
      </c>
      <c r="E5" s="38">
        <v>4</v>
      </c>
      <c r="F5" s="38">
        <v>5</v>
      </c>
      <c r="G5" s="38">
        <v>4</v>
      </c>
      <c r="H5" s="38">
        <v>4</v>
      </c>
      <c r="I5" s="38">
        <v>3</v>
      </c>
      <c r="J5" s="38">
        <v>4</v>
      </c>
      <c r="K5" s="38">
        <v>4</v>
      </c>
      <c r="L5" s="38">
        <v>5</v>
      </c>
      <c r="M5" s="38">
        <v>4</v>
      </c>
      <c r="N5" s="38">
        <v>3</v>
      </c>
      <c r="O5" s="39"/>
      <c r="Q5" s="20"/>
    </row>
    <row r="6" spans="1:17" ht="15.75">
      <c r="A6" s="36"/>
      <c r="B6" s="37" t="s">
        <v>81</v>
      </c>
      <c r="C6" s="63">
        <f>C4*C5</f>
        <v>1058.4000000000001</v>
      </c>
      <c r="D6" s="63">
        <f t="shared" ref="D6:N6" si="0">D4*D5</f>
        <v>1058.4000000000001</v>
      </c>
      <c r="E6" s="63">
        <f t="shared" si="0"/>
        <v>1058.4000000000001</v>
      </c>
      <c r="F6" s="63">
        <f t="shared" si="0"/>
        <v>1323</v>
      </c>
      <c r="G6" s="63">
        <f t="shared" si="0"/>
        <v>1058.4000000000001</v>
      </c>
      <c r="H6" s="63">
        <f t="shared" si="0"/>
        <v>1058.4000000000001</v>
      </c>
      <c r="I6" s="63">
        <f t="shared" si="0"/>
        <v>793.80000000000007</v>
      </c>
      <c r="J6" s="63">
        <f t="shared" si="0"/>
        <v>1058.4000000000001</v>
      </c>
      <c r="K6" s="63">
        <f t="shared" si="0"/>
        <v>1058.4000000000001</v>
      </c>
      <c r="L6" s="63">
        <f t="shared" si="0"/>
        <v>1323</v>
      </c>
      <c r="M6" s="63">
        <f t="shared" si="0"/>
        <v>1058.4000000000001</v>
      </c>
      <c r="N6" s="63">
        <f t="shared" si="0"/>
        <v>793.80000000000007</v>
      </c>
      <c r="O6" s="39">
        <f>SUM(C6:N6)</f>
        <v>12700.8</v>
      </c>
      <c r="Q6" s="20"/>
    </row>
    <row r="7" spans="1:17" ht="15.75">
      <c r="A7" s="36"/>
      <c r="B7" s="37" t="s">
        <v>82</v>
      </c>
      <c r="C7" s="63">
        <f>(((income!$C$4*income!$D$4)*C5)*1.05)*1.05</f>
        <v>2381.4</v>
      </c>
      <c r="D7" s="63">
        <f>(((income!$C$4*income!$D$4)*D5)*1.05)*1.05</f>
        <v>2381.4</v>
      </c>
      <c r="E7" s="63">
        <f>(((income!$C$4*income!$D$4)*E5)*1.05)*1.05</f>
        <v>2381.4</v>
      </c>
      <c r="F7" s="63">
        <f>(((income!$C$4*income!$D$4)*F5)*1.05)*1.05</f>
        <v>2976.75</v>
      </c>
      <c r="G7" s="63">
        <f>(((income!$C$4*income!$D$4)*G5)*1.05)*1.05</f>
        <v>2381.4</v>
      </c>
      <c r="H7" s="63">
        <f>(((income!$C$4*income!$D$4)*H5)*1.05)*1.05</f>
        <v>2381.4</v>
      </c>
      <c r="I7" s="63">
        <f>(((income!$C$4*income!$D$4)*I5)*1.05)*1.05</f>
        <v>1786.0500000000002</v>
      </c>
      <c r="J7" s="63">
        <f>(((income!$C$4*income!$D$4)*J5)*1.05)*1.05</f>
        <v>2381.4</v>
      </c>
      <c r="K7" s="63">
        <f>(((income!$C$4*income!$D$4)*K5)*1.05)*1.05</f>
        <v>2381.4</v>
      </c>
      <c r="L7" s="63">
        <f>(((income!$C$4*income!$D$4)*L5)*1.05)*1.05</f>
        <v>2976.75</v>
      </c>
      <c r="M7" s="63">
        <f>(((income!$C$4*income!$D$4)*M5)*1.05)*1.05</f>
        <v>2381.4</v>
      </c>
      <c r="N7" s="63">
        <f>(((income!$C$4*income!$D$4)*N5)*1.05)*1.05</f>
        <v>1786.0500000000002</v>
      </c>
      <c r="O7" s="39">
        <f t="shared" ref="O7:O8" si="1">SUM(C7:N7)</f>
        <v>28576.800000000003</v>
      </c>
      <c r="Q7" s="20"/>
    </row>
    <row r="8" spans="1:17" ht="15.75">
      <c r="A8" s="36"/>
      <c r="B8" s="37" t="s">
        <v>83</v>
      </c>
      <c r="C8" s="63">
        <f>(((income!$C$5*income!$D$5)*C5)*1.05)*1.05</f>
        <v>705.6</v>
      </c>
      <c r="D8" s="63">
        <f>(((income!$C$5*income!$D$5)*D5)*1.05)*1.05</f>
        <v>705.6</v>
      </c>
      <c r="E8" s="63">
        <f>(((income!$C$5*income!$D$5)*E5)*1.05)*1.05</f>
        <v>705.6</v>
      </c>
      <c r="F8" s="63">
        <f>(((income!$C$5*income!$D$5)*F5)*1.05)*1.05</f>
        <v>882</v>
      </c>
      <c r="G8" s="63">
        <f>(((income!$C$5*income!$D$5)*G5)*1.05)*1.05</f>
        <v>705.6</v>
      </c>
      <c r="H8" s="63">
        <f>(((income!$C$5*income!$D$5)*H5)*1.05)*1.05</f>
        <v>705.6</v>
      </c>
      <c r="I8" s="63">
        <f>(((income!$C$5*income!$D$5)*I5)*1.05)*1.05</f>
        <v>529.20000000000005</v>
      </c>
      <c r="J8" s="63">
        <f>(((income!$C$5*income!$D$5)*J5)*1.05)*1.05</f>
        <v>705.6</v>
      </c>
      <c r="K8" s="63">
        <f>(((income!$C$5*income!$D$5)*K5)*1.05)*1.05</f>
        <v>705.6</v>
      </c>
      <c r="L8" s="63">
        <f>(((income!$C$5*income!$D$5)*L5)*1.05)*1.05</f>
        <v>882</v>
      </c>
      <c r="M8" s="63">
        <f>(((income!$C$5*income!$D$5)*M5)*1.05)*1.05</f>
        <v>705.6</v>
      </c>
      <c r="N8" s="63">
        <f>(((income!$C$5*income!$D$5)*N5)*1.05)*1.05</f>
        <v>529.20000000000005</v>
      </c>
      <c r="O8" s="39">
        <f t="shared" si="1"/>
        <v>8467.2000000000007</v>
      </c>
      <c r="Q8" s="20"/>
    </row>
    <row r="9" spans="1:17" ht="15.75">
      <c r="A9" s="36"/>
      <c r="B9" s="37" t="s">
        <v>84</v>
      </c>
      <c r="C9" s="63">
        <f>(((income!$C$6*income!$D$6)*C5)*1.05)*1.05</f>
        <v>1058.4000000000001</v>
      </c>
      <c r="D9" s="63">
        <f>(((income!$C$6*income!$D$6)*D5)*1.05)*1.05</f>
        <v>1058.4000000000001</v>
      </c>
      <c r="E9" s="63">
        <f>(((income!$C$6*income!$D$6)*E5)*1.05)*1.05</f>
        <v>1058.4000000000001</v>
      </c>
      <c r="F9" s="63">
        <f>(((income!$C$6*income!$D$6)*F5)*1.05)*1.05</f>
        <v>1323</v>
      </c>
      <c r="G9" s="63">
        <f>(((income!$C$6*income!$D$6)*G5)*1.05)*1.05</f>
        <v>1058.4000000000001</v>
      </c>
      <c r="H9" s="63">
        <f>(((income!$C$6*income!$D$6)*H5)*1.05)*1.05</f>
        <v>1058.4000000000001</v>
      </c>
      <c r="I9" s="63">
        <f>(((income!$C$6*income!$D$6)*I5)*1.05)*1.05</f>
        <v>793.80000000000007</v>
      </c>
      <c r="J9" s="63">
        <f>(((income!$C$6*income!$D$6)*J5)*1.05)*1.05</f>
        <v>1058.4000000000001</v>
      </c>
      <c r="K9" s="63">
        <f>(((income!$C$6*income!$D$6)*K5)*1.05)*1.05</f>
        <v>1058.4000000000001</v>
      </c>
      <c r="L9" s="63">
        <f>(((income!$C$6*income!$D$6)*L5)*1.05)*1.05</f>
        <v>1323</v>
      </c>
      <c r="M9" s="63">
        <f>(((income!$C$6*income!$D$6)*M5)*1.05)*1.05</f>
        <v>1058.4000000000001</v>
      </c>
      <c r="N9" s="63">
        <f>(((income!$C$6*income!$D$6)*N5)*1.05)*1.05</f>
        <v>793.80000000000007</v>
      </c>
      <c r="O9" s="39">
        <f>SUM(C9:N9)</f>
        <v>12700.8</v>
      </c>
      <c r="P9" s="19"/>
      <c r="Q9" s="20"/>
    </row>
    <row r="10" spans="1:17" ht="15.75">
      <c r="A10" s="36"/>
      <c r="B10" s="37" t="s">
        <v>85</v>
      </c>
      <c r="C10" s="63">
        <f>(((income!$C$7*income!$D$7)*C5)*1.05)*1.05</f>
        <v>185.22000000000003</v>
      </c>
      <c r="D10" s="63">
        <f>(((income!$C$7*income!$D$7)*D5)*1.05)*1.05</f>
        <v>185.22000000000003</v>
      </c>
      <c r="E10" s="63">
        <f>(((income!$C$7*income!$D$7)*E5)*1.05)*1.05</f>
        <v>185.22000000000003</v>
      </c>
      <c r="F10" s="63">
        <f>(((income!$C$7*income!$D$7)*F5)*1.05)*1.05</f>
        <v>231.52500000000001</v>
      </c>
      <c r="G10" s="63">
        <f>(((income!$C$7*income!$D$7)*G5)*1.05)*1.05</f>
        <v>185.22000000000003</v>
      </c>
      <c r="H10" s="63">
        <f>(((income!$C$7*income!$D$7)*H5)*1.05)*1.05</f>
        <v>185.22000000000003</v>
      </c>
      <c r="I10" s="63">
        <f>(((income!$C$7*income!$D$7)*I5)*1.05)*1.05</f>
        <v>138.91500000000002</v>
      </c>
      <c r="J10" s="63">
        <f>(((income!$C$7*income!$D$7)*J5)*1.05)*1.05</f>
        <v>185.22000000000003</v>
      </c>
      <c r="K10" s="63">
        <f>(((income!$C$7*income!$D$7)*K5)*1.05)*1.05</f>
        <v>185.22000000000003</v>
      </c>
      <c r="L10" s="63">
        <f>(((income!$C$7*income!$D$7)*L5)*1.05)*1.05</f>
        <v>231.52500000000001</v>
      </c>
      <c r="M10" s="63">
        <f>(((income!$C$7*income!$D$7)*M5)*1.05)*1.05</f>
        <v>185.22000000000003</v>
      </c>
      <c r="N10" s="63">
        <f>(((income!$C$7*income!$D$7)*N5)*1.05)*1.05</f>
        <v>138.91500000000002</v>
      </c>
      <c r="O10" s="39">
        <f>SUM(C10:N10)</f>
        <v>2222.6400000000003</v>
      </c>
      <c r="P10" s="19"/>
      <c r="Q10" s="20"/>
    </row>
    <row r="11" spans="1:17" ht="16.5" thickBot="1">
      <c r="A11" s="36"/>
      <c r="B11" s="41" t="s">
        <v>86</v>
      </c>
      <c r="C11" s="64">
        <f>SUM(C6:C10)</f>
        <v>5389.0200000000013</v>
      </c>
      <c r="D11" s="64">
        <f t="shared" ref="D11:N11" si="2">SUM(D6:D10)</f>
        <v>5389.0200000000013</v>
      </c>
      <c r="E11" s="64">
        <f t="shared" si="2"/>
        <v>5389.0200000000013</v>
      </c>
      <c r="F11" s="64">
        <f t="shared" si="2"/>
        <v>6736.2749999999996</v>
      </c>
      <c r="G11" s="64">
        <f t="shared" si="2"/>
        <v>5389.0200000000013</v>
      </c>
      <c r="H11" s="64">
        <f t="shared" si="2"/>
        <v>5389.0200000000013</v>
      </c>
      <c r="I11" s="64">
        <f t="shared" si="2"/>
        <v>4041.7650000000003</v>
      </c>
      <c r="J11" s="64">
        <f t="shared" si="2"/>
        <v>5389.0200000000013</v>
      </c>
      <c r="K11" s="64">
        <f t="shared" si="2"/>
        <v>5389.0200000000013</v>
      </c>
      <c r="L11" s="64">
        <f t="shared" si="2"/>
        <v>6736.2749999999996</v>
      </c>
      <c r="M11" s="64">
        <f t="shared" si="2"/>
        <v>5389.0200000000013</v>
      </c>
      <c r="N11" s="64">
        <f t="shared" si="2"/>
        <v>4041.7650000000003</v>
      </c>
      <c r="O11" s="43">
        <f>SUM(O6:O10)</f>
        <v>64668.240000000005</v>
      </c>
      <c r="Q11" s="20"/>
    </row>
    <row r="12" spans="1:17" ht="15">
      <c r="A12" s="36"/>
      <c r="B12" s="40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9"/>
      <c r="Q12" s="20"/>
    </row>
    <row r="13" spans="1:17" ht="15.75">
      <c r="B13" s="11" t="s">
        <v>87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9">
        <f t="shared" ref="O13:O29" si="3">SUM(C13:N13)</f>
        <v>0</v>
      </c>
    </row>
    <row r="14" spans="1:17" ht="15.75">
      <c r="A14" s="36"/>
      <c r="B14" s="11" t="s">
        <v>87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9">
        <f t="shared" si="3"/>
        <v>0</v>
      </c>
    </row>
    <row r="15" spans="1:17" ht="15.75">
      <c r="A15" s="36"/>
      <c r="B15" s="44" t="s">
        <v>87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>
        <f t="shared" si="3"/>
        <v>0</v>
      </c>
    </row>
    <row r="16" spans="1:17" ht="16.5" thickBot="1">
      <c r="B16" s="45" t="s">
        <v>88</v>
      </c>
      <c r="C16" s="42">
        <f>SUM(C13:C15)</f>
        <v>0</v>
      </c>
      <c r="D16" s="42">
        <f t="shared" ref="D16:O16" si="4">SUM(D13:D15)</f>
        <v>0</v>
      </c>
      <c r="E16" s="42">
        <f>SUM(E13:E15)</f>
        <v>0</v>
      </c>
      <c r="F16" s="42">
        <f t="shared" si="4"/>
        <v>0</v>
      </c>
      <c r="G16" s="42">
        <f t="shared" si="4"/>
        <v>0</v>
      </c>
      <c r="H16" s="42">
        <f t="shared" si="4"/>
        <v>0</v>
      </c>
      <c r="I16" s="42">
        <f t="shared" si="4"/>
        <v>0</v>
      </c>
      <c r="J16" s="42">
        <f t="shared" si="4"/>
        <v>0</v>
      </c>
      <c r="K16" s="42">
        <f t="shared" si="4"/>
        <v>0</v>
      </c>
      <c r="L16" s="42">
        <f t="shared" si="4"/>
        <v>0</v>
      </c>
      <c r="M16" s="42">
        <f t="shared" si="4"/>
        <v>0</v>
      </c>
      <c r="N16" s="42">
        <f>SUM(N13:N15)</f>
        <v>0</v>
      </c>
      <c r="O16" s="43">
        <f t="shared" si="4"/>
        <v>0</v>
      </c>
    </row>
    <row r="17" spans="1:17" ht="15.75">
      <c r="A17" s="36"/>
      <c r="B17" s="44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9"/>
    </row>
    <row r="18" spans="1:17" ht="16.5" thickBot="1">
      <c r="A18" s="36"/>
      <c r="B18" s="46" t="s">
        <v>89</v>
      </c>
      <c r="C18" s="43">
        <f>C11+C16</f>
        <v>5389.0200000000013</v>
      </c>
      <c r="D18" s="43">
        <f t="shared" ref="D18:N18" si="5">D11+D16</f>
        <v>5389.0200000000013</v>
      </c>
      <c r="E18" s="43">
        <f t="shared" si="5"/>
        <v>5389.0200000000013</v>
      </c>
      <c r="F18" s="43">
        <f t="shared" si="5"/>
        <v>6736.2749999999996</v>
      </c>
      <c r="G18" s="43">
        <f t="shared" si="5"/>
        <v>5389.0200000000013</v>
      </c>
      <c r="H18" s="43">
        <f t="shared" si="5"/>
        <v>5389.0200000000013</v>
      </c>
      <c r="I18" s="43">
        <f t="shared" si="5"/>
        <v>4041.7650000000003</v>
      </c>
      <c r="J18" s="43">
        <f t="shared" si="5"/>
        <v>5389.0200000000013</v>
      </c>
      <c r="K18" s="43">
        <f t="shared" si="5"/>
        <v>5389.0200000000013</v>
      </c>
      <c r="L18" s="43">
        <f t="shared" si="5"/>
        <v>6736.2749999999996</v>
      </c>
      <c r="M18" s="43">
        <f t="shared" si="5"/>
        <v>5389.0200000000013</v>
      </c>
      <c r="N18" s="43">
        <f t="shared" si="5"/>
        <v>4041.7650000000003</v>
      </c>
      <c r="O18" s="43">
        <f>O11+O16</f>
        <v>64668.240000000005</v>
      </c>
    </row>
    <row r="19" spans="1:17" ht="15.75">
      <c r="A19" s="36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9"/>
    </row>
    <row r="20" spans="1:17" ht="15.75">
      <c r="A20" s="36" t="s">
        <v>55</v>
      </c>
      <c r="B20" s="11" t="s">
        <v>37</v>
      </c>
      <c r="C20" s="47">
        <f>'Potential funders'!$B$4/12</f>
        <v>83.333333333333329</v>
      </c>
      <c r="D20" s="47">
        <f>'Potential funders'!$B$4/12</f>
        <v>83.333333333333329</v>
      </c>
      <c r="E20" s="47">
        <f>'Potential funders'!$B$4/12</f>
        <v>83.333333333333329</v>
      </c>
      <c r="F20" s="47">
        <f>'Potential funders'!$B$4/12</f>
        <v>83.333333333333329</v>
      </c>
      <c r="G20" s="47">
        <f>'Potential funders'!$B$4/12</f>
        <v>83.333333333333329</v>
      </c>
      <c r="H20" s="47">
        <f>'Potential funders'!$B$4/12</f>
        <v>83.333333333333329</v>
      </c>
      <c r="I20" s="47">
        <f>'Potential funders'!$B$4/12</f>
        <v>83.333333333333329</v>
      </c>
      <c r="J20" s="47">
        <f>'Potential funders'!$B$4/12</f>
        <v>83.333333333333329</v>
      </c>
      <c r="K20" s="47">
        <f>'Potential funders'!$B$4/12</f>
        <v>83.333333333333329</v>
      </c>
      <c r="L20" s="47">
        <f>'Potential funders'!$B$4/12</f>
        <v>83.333333333333329</v>
      </c>
      <c r="M20" s="47">
        <f>'Potential funders'!$B$4/12</f>
        <v>83.333333333333329</v>
      </c>
      <c r="N20" s="47">
        <f>'Potential funders'!$B$4/12</f>
        <v>83.333333333333329</v>
      </c>
      <c r="O20" s="39">
        <f t="shared" si="3"/>
        <v>1000.0000000000001</v>
      </c>
    </row>
    <row r="21" spans="1:17" ht="15.75">
      <c r="B21" s="11" t="s">
        <v>39</v>
      </c>
      <c r="C21" s="38"/>
      <c r="D21" s="38"/>
      <c r="E21" s="38"/>
      <c r="F21" s="38"/>
      <c r="G21" s="38"/>
      <c r="H21" s="38"/>
      <c r="I21" s="38"/>
      <c r="J21" s="38"/>
      <c r="K21" s="38"/>
      <c r="L21" s="48"/>
      <c r="M21" s="38"/>
      <c r="N21" s="38"/>
      <c r="O21" s="39">
        <f>SUM(C21:N21)</f>
        <v>0</v>
      </c>
    </row>
    <row r="22" spans="1:17" ht="15.75">
      <c r="B22" s="11" t="s">
        <v>41</v>
      </c>
      <c r="C22" s="38">
        <f>'Potential funders'!$B$19/12</f>
        <v>875</v>
      </c>
      <c r="D22" s="38">
        <f>'Potential funders'!$B$19/12</f>
        <v>875</v>
      </c>
      <c r="E22" s="38">
        <f>'Potential funders'!$B$19/12</f>
        <v>875</v>
      </c>
      <c r="F22" s="38">
        <f>'Potential funders'!$B$19/12</f>
        <v>875</v>
      </c>
      <c r="G22" s="38">
        <f>'Potential funders'!$B$19/12</f>
        <v>875</v>
      </c>
      <c r="H22" s="38">
        <f>'Potential funders'!$B$19/12</f>
        <v>875</v>
      </c>
      <c r="I22" s="38">
        <f>'Potential funders'!$B$19/12</f>
        <v>875</v>
      </c>
      <c r="J22" s="38">
        <f>'Potential funders'!$B$19/12</f>
        <v>875</v>
      </c>
      <c r="K22" s="38">
        <f>'Potential funders'!$B$19/12</f>
        <v>875</v>
      </c>
      <c r="L22" s="38">
        <f>'Potential funders'!$B$19/12</f>
        <v>875</v>
      </c>
      <c r="M22" s="38">
        <f>'Potential funders'!$B$19/12</f>
        <v>875</v>
      </c>
      <c r="N22" s="38">
        <f>'Potential funders'!$B$19/12</f>
        <v>875</v>
      </c>
      <c r="O22" s="39">
        <f>SUM(C22:N22)</f>
        <v>10500</v>
      </c>
    </row>
    <row r="23" spans="1:17" ht="15.75">
      <c r="B23" s="11" t="s">
        <v>45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</row>
    <row r="24" spans="1:17" ht="16.5" thickBot="1">
      <c r="B24" s="49" t="s">
        <v>90</v>
      </c>
      <c r="C24" s="50">
        <f t="shared" ref="C24:O24" si="6">SUM(C20:C22)</f>
        <v>958.33333333333337</v>
      </c>
      <c r="D24" s="50">
        <f t="shared" si="6"/>
        <v>958.33333333333337</v>
      </c>
      <c r="E24" s="50">
        <f t="shared" si="6"/>
        <v>958.33333333333337</v>
      </c>
      <c r="F24" s="50">
        <f t="shared" si="6"/>
        <v>958.33333333333337</v>
      </c>
      <c r="G24" s="50">
        <f t="shared" si="6"/>
        <v>958.33333333333337</v>
      </c>
      <c r="H24" s="50">
        <f t="shared" si="6"/>
        <v>958.33333333333337</v>
      </c>
      <c r="I24" s="50">
        <f t="shared" si="6"/>
        <v>958.33333333333337</v>
      </c>
      <c r="J24" s="50">
        <f t="shared" si="6"/>
        <v>958.33333333333337</v>
      </c>
      <c r="K24" s="50">
        <f t="shared" si="6"/>
        <v>958.33333333333337</v>
      </c>
      <c r="L24" s="50">
        <f t="shared" si="6"/>
        <v>958.33333333333337</v>
      </c>
      <c r="M24" s="50">
        <f t="shared" si="6"/>
        <v>958.33333333333337</v>
      </c>
      <c r="N24" s="50">
        <f>SUM(N20:N22)</f>
        <v>958.33333333333337</v>
      </c>
      <c r="O24" s="50">
        <f t="shared" si="6"/>
        <v>11500</v>
      </c>
      <c r="Q24" s="21"/>
    </row>
    <row r="25" spans="1:17" ht="15.75">
      <c r="B25" s="1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</row>
    <row r="26" spans="1:17" ht="16.5" thickBot="1">
      <c r="B26" s="34" t="s">
        <v>91</v>
      </c>
      <c r="C26" s="35">
        <f>C18+C24</f>
        <v>6347.3533333333344</v>
      </c>
      <c r="D26" s="35">
        <f t="shared" ref="D26:N26" si="7">D18+D24</f>
        <v>6347.3533333333344</v>
      </c>
      <c r="E26" s="35">
        <f t="shared" si="7"/>
        <v>6347.3533333333344</v>
      </c>
      <c r="F26" s="35">
        <f t="shared" si="7"/>
        <v>7694.6083333333327</v>
      </c>
      <c r="G26" s="35">
        <f t="shared" si="7"/>
        <v>6347.3533333333344</v>
      </c>
      <c r="H26" s="35">
        <f t="shared" si="7"/>
        <v>6347.3533333333344</v>
      </c>
      <c r="I26" s="35">
        <f t="shared" si="7"/>
        <v>5000.0983333333334</v>
      </c>
      <c r="J26" s="35">
        <f t="shared" si="7"/>
        <v>6347.3533333333344</v>
      </c>
      <c r="K26" s="35">
        <f t="shared" si="7"/>
        <v>6347.3533333333344</v>
      </c>
      <c r="L26" s="35">
        <f t="shared" si="7"/>
        <v>7694.6083333333327</v>
      </c>
      <c r="M26" s="35">
        <f t="shared" si="7"/>
        <v>6347.3533333333344</v>
      </c>
      <c r="N26" s="35">
        <f t="shared" si="7"/>
        <v>5000.0983333333334</v>
      </c>
      <c r="O26" s="35">
        <f>SUM(O18+O24)</f>
        <v>76168.240000000005</v>
      </c>
    </row>
    <row r="27" spans="1:17" ht="16.5" thickTop="1">
      <c r="B27" s="1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2"/>
      <c r="P27" s="23"/>
    </row>
    <row r="28" spans="1:17" ht="15.75">
      <c r="A28" s="9" t="s">
        <v>92</v>
      </c>
      <c r="B28" s="11" t="s">
        <v>93</v>
      </c>
      <c r="C28" s="38">
        <v>20</v>
      </c>
      <c r="D28" s="38">
        <v>20</v>
      </c>
      <c r="E28" s="38">
        <v>20</v>
      </c>
      <c r="F28" s="38">
        <v>20</v>
      </c>
      <c r="G28" s="38">
        <v>20</v>
      </c>
      <c r="H28" s="38">
        <v>20</v>
      </c>
      <c r="I28" s="38">
        <v>20</v>
      </c>
      <c r="J28" s="38">
        <v>20</v>
      </c>
      <c r="K28" s="38">
        <v>20</v>
      </c>
      <c r="L28" s="38">
        <v>20</v>
      </c>
      <c r="M28" s="38">
        <v>20</v>
      </c>
      <c r="N28" s="38">
        <v>20</v>
      </c>
      <c r="O28" s="39">
        <f>SUM(C28:N28)</f>
        <v>240</v>
      </c>
      <c r="P28" s="24"/>
      <c r="Q28" s="24"/>
    </row>
    <row r="29" spans="1:17" ht="15.75">
      <c r="B29" s="11" t="s">
        <v>94</v>
      </c>
      <c r="C29" s="38">
        <f>22*1.05</f>
        <v>23.1</v>
      </c>
      <c r="D29" s="38">
        <f t="shared" ref="D29:N29" si="8">22*1.05</f>
        <v>23.1</v>
      </c>
      <c r="E29" s="38">
        <f t="shared" si="8"/>
        <v>23.1</v>
      </c>
      <c r="F29" s="38">
        <f t="shared" si="8"/>
        <v>23.1</v>
      </c>
      <c r="G29" s="38">
        <f t="shared" si="8"/>
        <v>23.1</v>
      </c>
      <c r="H29" s="38">
        <f t="shared" si="8"/>
        <v>23.1</v>
      </c>
      <c r="I29" s="38">
        <f t="shared" si="8"/>
        <v>23.1</v>
      </c>
      <c r="J29" s="38">
        <f t="shared" si="8"/>
        <v>23.1</v>
      </c>
      <c r="K29" s="38">
        <f t="shared" si="8"/>
        <v>23.1</v>
      </c>
      <c r="L29" s="38">
        <f t="shared" si="8"/>
        <v>23.1</v>
      </c>
      <c r="M29" s="38">
        <f t="shared" si="8"/>
        <v>23.1</v>
      </c>
      <c r="N29" s="38">
        <f t="shared" si="8"/>
        <v>23.1</v>
      </c>
      <c r="O29" s="39">
        <f t="shared" ref="O29:O44" si="9">SUM(C29:N29)</f>
        <v>277.2</v>
      </c>
      <c r="P29" s="23"/>
    </row>
    <row r="30" spans="1:17" ht="15.75">
      <c r="B30" s="11" t="s">
        <v>95</v>
      </c>
      <c r="C30" s="38">
        <f>[1]Expenses!$P$23</f>
        <v>0</v>
      </c>
      <c r="D30" s="38">
        <f>[1]Expenses!$P$23</f>
        <v>0</v>
      </c>
      <c r="E30" s="38">
        <f>[1]Expenses!$P$23</f>
        <v>0</v>
      </c>
      <c r="F30" s="38">
        <f>[1]Expenses!$P$23</f>
        <v>0</v>
      </c>
      <c r="G30" s="38">
        <f>[1]Expenses!$P$23</f>
        <v>0</v>
      </c>
      <c r="H30" s="38">
        <f>[1]Expenses!$P$23</f>
        <v>0</v>
      </c>
      <c r="I30" s="38">
        <f>[1]Expenses!$P$23</f>
        <v>0</v>
      </c>
      <c r="J30" s="38">
        <f>[1]Expenses!$P$23</f>
        <v>0</v>
      </c>
      <c r="K30" s="38">
        <f>[1]Expenses!$P$23</f>
        <v>0</v>
      </c>
      <c r="L30" s="38">
        <f>[1]Expenses!$P$23</f>
        <v>0</v>
      </c>
      <c r="M30" s="38">
        <f>[1]Expenses!$P$23</f>
        <v>0</v>
      </c>
      <c r="N30" s="38">
        <f>[1]Expenses!$P$23</f>
        <v>0</v>
      </c>
      <c r="O30" s="39">
        <f t="shared" si="9"/>
        <v>0</v>
      </c>
    </row>
    <row r="31" spans="1:17" ht="15.75">
      <c r="B31" s="11" t="s">
        <v>96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9">
        <f t="shared" si="9"/>
        <v>0</v>
      </c>
    </row>
    <row r="32" spans="1:17" ht="15.75">
      <c r="B32" s="11" t="s">
        <v>97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9">
        <f t="shared" si="9"/>
        <v>0</v>
      </c>
    </row>
    <row r="33" spans="1:17" ht="15.75">
      <c r="B33" s="11" t="s">
        <v>98</v>
      </c>
      <c r="C33" s="38">
        <f>((expenses!$D$11/12)*1.05)*1.05</f>
        <v>2388.75</v>
      </c>
      <c r="D33" s="38">
        <f>((expenses!$D$11/12)*1.05)*1.05</f>
        <v>2388.75</v>
      </c>
      <c r="E33" s="38">
        <f>((expenses!$D$11/12)*1.05)*1.05</f>
        <v>2388.75</v>
      </c>
      <c r="F33" s="38">
        <f>((expenses!$D$11/12)*1.05)*1.05</f>
        <v>2388.75</v>
      </c>
      <c r="G33" s="38">
        <f>((expenses!$D$11/12)*1.05)*1.05</f>
        <v>2388.75</v>
      </c>
      <c r="H33" s="38">
        <f>((expenses!$D$11/12)*1.05)*1.05</f>
        <v>2388.75</v>
      </c>
      <c r="I33" s="38">
        <f>((expenses!$D$11/12)*1.05)*1.05</f>
        <v>2388.75</v>
      </c>
      <c r="J33" s="38">
        <f>((expenses!$D$11/12)*1.05)*1.05</f>
        <v>2388.75</v>
      </c>
      <c r="K33" s="38">
        <f>((expenses!$D$11/12)*1.05)*1.05</f>
        <v>2388.75</v>
      </c>
      <c r="L33" s="38">
        <f>((expenses!$D$11/12)*1.05)*1.05</f>
        <v>2388.75</v>
      </c>
      <c r="M33" s="38">
        <f>((expenses!$D$11/12)*1.05)*1.05</f>
        <v>2388.75</v>
      </c>
      <c r="N33" s="38">
        <f>((expenses!$D$11/12)*1.05)*1.05</f>
        <v>2388.75</v>
      </c>
      <c r="O33" s="39">
        <f t="shared" si="9"/>
        <v>28665</v>
      </c>
    </row>
    <row r="34" spans="1:17" ht="15.75">
      <c r="B34" s="11" t="s">
        <v>99</v>
      </c>
      <c r="C34" s="38">
        <f>((expenses!$D$16/12)*1.05)*1.05</f>
        <v>91.875</v>
      </c>
      <c r="D34" s="38">
        <f>((expenses!$D$16/12)*1.05)*1.05</f>
        <v>91.875</v>
      </c>
      <c r="E34" s="38">
        <f>((expenses!$D$16/12)*1.05)*1.05</f>
        <v>91.875</v>
      </c>
      <c r="F34" s="38">
        <f>((expenses!$D$16/12)*1.05)*1.05</f>
        <v>91.875</v>
      </c>
      <c r="G34" s="38">
        <f>((expenses!$D$16/12)*1.05)*1.05</f>
        <v>91.875</v>
      </c>
      <c r="H34" s="38">
        <f>((expenses!$D$16/12)*1.05)*1.05</f>
        <v>91.875</v>
      </c>
      <c r="I34" s="38">
        <f>((expenses!$D$16/12)*1.05)*1.05</f>
        <v>91.875</v>
      </c>
      <c r="J34" s="38">
        <f>((expenses!$D$16/12)*1.05)*1.05</f>
        <v>91.875</v>
      </c>
      <c r="K34" s="38">
        <f>((expenses!$D$16/12)*1.05)*1.05</f>
        <v>91.875</v>
      </c>
      <c r="L34" s="38">
        <f>((expenses!$D$16/12)*1.05)*1.05</f>
        <v>91.875</v>
      </c>
      <c r="M34" s="38">
        <f>((expenses!$D$16/12)*1.05)*1.05</f>
        <v>91.875</v>
      </c>
      <c r="N34" s="38">
        <f>((expenses!$D$16/12)*1.05)*1.05</f>
        <v>91.875</v>
      </c>
      <c r="O34" s="39">
        <f t="shared" si="9"/>
        <v>1102.5</v>
      </c>
    </row>
    <row r="35" spans="1:17" ht="15.75">
      <c r="B35" s="11" t="s">
        <v>100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9">
        <f t="shared" si="9"/>
        <v>0</v>
      </c>
    </row>
    <row r="36" spans="1:17" ht="15.75">
      <c r="B36" s="11" t="s">
        <v>101</v>
      </c>
      <c r="C36" s="38">
        <f>50*1.05</f>
        <v>52.5</v>
      </c>
      <c r="D36" s="38">
        <f t="shared" ref="D36:N36" si="10">50*1.05</f>
        <v>52.5</v>
      </c>
      <c r="E36" s="38">
        <f t="shared" si="10"/>
        <v>52.5</v>
      </c>
      <c r="F36" s="38">
        <f t="shared" si="10"/>
        <v>52.5</v>
      </c>
      <c r="G36" s="38">
        <f t="shared" si="10"/>
        <v>52.5</v>
      </c>
      <c r="H36" s="38">
        <f t="shared" si="10"/>
        <v>52.5</v>
      </c>
      <c r="I36" s="38">
        <f t="shared" si="10"/>
        <v>52.5</v>
      </c>
      <c r="J36" s="38">
        <f t="shared" si="10"/>
        <v>52.5</v>
      </c>
      <c r="K36" s="38">
        <f t="shared" si="10"/>
        <v>52.5</v>
      </c>
      <c r="L36" s="38">
        <f t="shared" si="10"/>
        <v>52.5</v>
      </c>
      <c r="M36" s="38">
        <f t="shared" si="10"/>
        <v>52.5</v>
      </c>
      <c r="N36" s="38">
        <f t="shared" si="10"/>
        <v>52.5</v>
      </c>
      <c r="O36" s="39">
        <f t="shared" si="9"/>
        <v>630</v>
      </c>
    </row>
    <row r="37" spans="1:17" ht="15.75">
      <c r="B37" s="11" t="s">
        <v>102</v>
      </c>
      <c r="C37" s="38">
        <f>1000/12</f>
        <v>83.333333333333329</v>
      </c>
      <c r="D37" s="38">
        <f t="shared" ref="D37:N37" si="11">1000/12</f>
        <v>83.333333333333329</v>
      </c>
      <c r="E37" s="38">
        <f t="shared" si="11"/>
        <v>83.333333333333329</v>
      </c>
      <c r="F37" s="38">
        <f t="shared" si="11"/>
        <v>83.333333333333329</v>
      </c>
      <c r="G37" s="38">
        <f t="shared" si="11"/>
        <v>83.333333333333329</v>
      </c>
      <c r="H37" s="38">
        <f t="shared" si="11"/>
        <v>83.333333333333329</v>
      </c>
      <c r="I37" s="38">
        <f t="shared" si="11"/>
        <v>83.333333333333329</v>
      </c>
      <c r="J37" s="38">
        <f t="shared" si="11"/>
        <v>83.333333333333329</v>
      </c>
      <c r="K37" s="38">
        <f t="shared" si="11"/>
        <v>83.333333333333329</v>
      </c>
      <c r="L37" s="38">
        <f t="shared" si="11"/>
        <v>83.333333333333329</v>
      </c>
      <c r="M37" s="38">
        <f t="shared" si="11"/>
        <v>83.333333333333329</v>
      </c>
      <c r="N37" s="38">
        <f t="shared" si="11"/>
        <v>83.333333333333329</v>
      </c>
      <c r="O37" s="39">
        <f t="shared" si="9"/>
        <v>1000.0000000000001</v>
      </c>
    </row>
    <row r="38" spans="1:17" ht="15.75">
      <c r="B38" s="11" t="s">
        <v>16</v>
      </c>
      <c r="C38" s="38">
        <f>(expenses!$D$14/12)*1.05</f>
        <v>87.5</v>
      </c>
      <c r="D38" s="38">
        <f>(expenses!$D$14/12)*1.05</f>
        <v>87.5</v>
      </c>
      <c r="E38" s="38">
        <f>(expenses!$D$14/12)*1.05</f>
        <v>87.5</v>
      </c>
      <c r="F38" s="38">
        <f>(expenses!$D$14/12)*1.05</f>
        <v>87.5</v>
      </c>
      <c r="G38" s="38">
        <f>(expenses!$D$14/12)*1.05</f>
        <v>87.5</v>
      </c>
      <c r="H38" s="38">
        <f>(expenses!$D$14/12)*1.05</f>
        <v>87.5</v>
      </c>
      <c r="I38" s="38">
        <f>(expenses!$D$14/12)*1.05</f>
        <v>87.5</v>
      </c>
      <c r="J38" s="38">
        <f>(expenses!$D$14/12)*1.05</f>
        <v>87.5</v>
      </c>
      <c r="K38" s="38">
        <f>(expenses!$D$14/12)*1.05</f>
        <v>87.5</v>
      </c>
      <c r="L38" s="38">
        <f>(expenses!$D$14/12)*1.05</f>
        <v>87.5</v>
      </c>
      <c r="M38" s="38">
        <f>(expenses!$D$14/12)*1.05</f>
        <v>87.5</v>
      </c>
      <c r="N38" s="38">
        <f>(expenses!$D$14/12)*1.05</f>
        <v>87.5</v>
      </c>
      <c r="O38" s="39">
        <f t="shared" si="9"/>
        <v>1050</v>
      </c>
    </row>
    <row r="39" spans="1:17" ht="15.75">
      <c r="B39" s="11" t="s">
        <v>103</v>
      </c>
      <c r="C39" s="38">
        <f>(expenses!$D$12/12)*1.05</f>
        <v>315</v>
      </c>
      <c r="D39" s="38">
        <f>(expenses!$D$12/12)*1.05</f>
        <v>315</v>
      </c>
      <c r="E39" s="38">
        <f>(expenses!$D$12/12)*1.05</f>
        <v>315</v>
      </c>
      <c r="F39" s="38">
        <f>(expenses!$D$12/12)*1.05</f>
        <v>315</v>
      </c>
      <c r="G39" s="38">
        <f>(expenses!$D$12/12)*1.05</f>
        <v>315</v>
      </c>
      <c r="H39" s="38">
        <f>(expenses!$D$12/12)*1.05</f>
        <v>315</v>
      </c>
      <c r="I39" s="38">
        <f>(expenses!$D$12/12)*1.05</f>
        <v>315</v>
      </c>
      <c r="J39" s="38">
        <f>(expenses!$D$12/12)*1.05</f>
        <v>315</v>
      </c>
      <c r="K39" s="38">
        <f>(expenses!$D$12/12)*1.05</f>
        <v>315</v>
      </c>
      <c r="L39" s="38">
        <f>(expenses!$D$12/12)*1.05</f>
        <v>315</v>
      </c>
      <c r="M39" s="38">
        <f>(expenses!$D$12/12)*1.05</f>
        <v>315</v>
      </c>
      <c r="N39" s="38">
        <f>(expenses!$D$12/12)*1.05</f>
        <v>315</v>
      </c>
      <c r="O39" s="39">
        <f t="shared" si="9"/>
        <v>3780</v>
      </c>
    </row>
    <row r="40" spans="1:17" ht="15.75">
      <c r="B40" s="11" t="s">
        <v>14</v>
      </c>
      <c r="C40" s="38">
        <f>'Cash Flow Y2 Jan to Dec 2027'!C40*1.05</f>
        <v>262.5</v>
      </c>
      <c r="D40" s="38">
        <f>'Cash Flow Y2 Jan to Dec 2027'!D40*1.05</f>
        <v>262.5</v>
      </c>
      <c r="E40" s="38">
        <f>'Cash Flow Y2 Jan to Dec 2027'!E40*1.05</f>
        <v>262.5</v>
      </c>
      <c r="F40" s="38">
        <f>'Cash Flow Y2 Jan to Dec 2027'!F40*1.05</f>
        <v>262.5</v>
      </c>
      <c r="G40" s="38">
        <f>'Cash Flow Y2 Jan to Dec 2027'!G40*1.05</f>
        <v>262.5</v>
      </c>
      <c r="H40" s="38">
        <f>'Cash Flow Y2 Jan to Dec 2027'!H40*1.05</f>
        <v>262.5</v>
      </c>
      <c r="I40" s="38">
        <f>'Cash Flow Y2 Jan to Dec 2027'!I40*1.05</f>
        <v>262.5</v>
      </c>
      <c r="J40" s="38">
        <f>'Cash Flow Y2 Jan to Dec 2027'!J40*1.05</f>
        <v>262.5</v>
      </c>
      <c r="K40" s="38">
        <f>'Cash Flow Y2 Jan to Dec 2027'!K40*1.05</f>
        <v>262.5</v>
      </c>
      <c r="L40" s="38">
        <f>'Cash Flow Y2 Jan to Dec 2027'!L40*1.05</f>
        <v>262.5</v>
      </c>
      <c r="M40" s="38">
        <f>'Cash Flow Y2 Jan to Dec 2027'!M40*1.05</f>
        <v>262.5</v>
      </c>
      <c r="N40" s="38">
        <f>'Cash Flow Y2 Jan to Dec 2027'!N40*1.05</f>
        <v>262.5</v>
      </c>
      <c r="O40" s="39">
        <f t="shared" si="9"/>
        <v>3150</v>
      </c>
    </row>
    <row r="41" spans="1:17" ht="15.75">
      <c r="B41" s="11" t="s">
        <v>18</v>
      </c>
      <c r="C41" s="38">
        <f>(expenses!$D$15/12)*1.05</f>
        <v>52.5</v>
      </c>
      <c r="D41" s="38">
        <f>(expenses!$D$15/12)*1.05</f>
        <v>52.5</v>
      </c>
      <c r="E41" s="38">
        <f>(expenses!$D$15/12)*1.05</f>
        <v>52.5</v>
      </c>
      <c r="F41" s="38">
        <f>(expenses!$D$15/12)*1.05</f>
        <v>52.5</v>
      </c>
      <c r="G41" s="38">
        <f>(expenses!$D$15/12)*1.05</f>
        <v>52.5</v>
      </c>
      <c r="H41" s="38">
        <f>(expenses!$D$15/12)*1.05</f>
        <v>52.5</v>
      </c>
      <c r="I41" s="38">
        <f>(expenses!$D$15/12)*1.05</f>
        <v>52.5</v>
      </c>
      <c r="J41" s="38">
        <f>(expenses!$D$15/12)*1.05</f>
        <v>52.5</v>
      </c>
      <c r="K41" s="38">
        <f>(expenses!$D$15/12)*1.05</f>
        <v>52.5</v>
      </c>
      <c r="L41" s="38">
        <f>(expenses!$D$15/12)*1.05</f>
        <v>52.5</v>
      </c>
      <c r="M41" s="38">
        <f>(expenses!$D$15/12)*1.05</f>
        <v>52.5</v>
      </c>
      <c r="N41" s="38">
        <f>(expenses!$D$15/12)*1.05</f>
        <v>52.5</v>
      </c>
      <c r="O41" s="39">
        <f t="shared" si="9"/>
        <v>630</v>
      </c>
    </row>
    <row r="42" spans="1:17" ht="15.75">
      <c r="B42" s="11" t="s">
        <v>104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9">
        <f t="shared" si="9"/>
        <v>0</v>
      </c>
    </row>
    <row r="43" spans="1:17" ht="15.75">
      <c r="B43" s="11" t="s">
        <v>105</v>
      </c>
      <c r="C43" s="38">
        <v>20</v>
      </c>
      <c r="D43" s="38">
        <v>20</v>
      </c>
      <c r="E43" s="38">
        <v>20</v>
      </c>
      <c r="F43" s="38">
        <v>20</v>
      </c>
      <c r="G43" s="38">
        <v>20</v>
      </c>
      <c r="H43" s="38">
        <v>20</v>
      </c>
      <c r="I43" s="38">
        <v>20</v>
      </c>
      <c r="J43" s="38">
        <v>20</v>
      </c>
      <c r="K43" s="38">
        <v>20</v>
      </c>
      <c r="L43" s="38">
        <v>20</v>
      </c>
      <c r="M43" s="38">
        <v>20</v>
      </c>
      <c r="N43" s="38">
        <v>20</v>
      </c>
      <c r="O43" s="39">
        <f t="shared" si="9"/>
        <v>240</v>
      </c>
    </row>
    <row r="44" spans="1:17" ht="15.75">
      <c r="B44" s="11" t="s">
        <v>106</v>
      </c>
      <c r="C44" s="38">
        <f>(expenses!$D$17/12)*1.05</f>
        <v>16.8</v>
      </c>
      <c r="D44" s="38">
        <f>(expenses!$D$17/12)*1.05</f>
        <v>16.8</v>
      </c>
      <c r="E44" s="38">
        <f>((expenses!$D$17/12)*1.05)+20</f>
        <v>36.799999999999997</v>
      </c>
      <c r="F44" s="38">
        <f>(expenses!$D$17/12)*1.05</f>
        <v>16.8</v>
      </c>
      <c r="G44" s="38">
        <f>(expenses!$D$17/12)*1.05</f>
        <v>16.8</v>
      </c>
      <c r="H44" s="38">
        <f>(expenses!$D$17/12)*1.05</f>
        <v>16.8</v>
      </c>
      <c r="I44" s="38">
        <f>(expenses!$D$17/12)*1.05</f>
        <v>16.8</v>
      </c>
      <c r="J44" s="38">
        <f>(expenses!$D$17/12)*1.05</f>
        <v>16.8</v>
      </c>
      <c r="K44" s="38">
        <f>(expenses!$D$17/12)*1.05</f>
        <v>16.8</v>
      </c>
      <c r="L44" s="38">
        <f>(expenses!$D$17/12)*1.05</f>
        <v>16.8</v>
      </c>
      <c r="M44" s="38">
        <f>(expenses!$D$17/12)*1.05</f>
        <v>16.8</v>
      </c>
      <c r="N44" s="38">
        <f>(expenses!$D$17/12)*1.05</f>
        <v>16.8</v>
      </c>
      <c r="O44" s="39">
        <f t="shared" si="9"/>
        <v>221.60000000000005</v>
      </c>
    </row>
    <row r="45" spans="1:17" ht="15.75">
      <c r="B45" s="11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9"/>
    </row>
    <row r="46" spans="1:17" ht="16.5" thickBot="1">
      <c r="B46" s="53" t="s">
        <v>107</v>
      </c>
      <c r="C46" s="54">
        <f t="shared" ref="C46:O46" si="12">SUM(C28:C45)</f>
        <v>3413.8583333333336</v>
      </c>
      <c r="D46" s="54">
        <f t="shared" si="12"/>
        <v>3413.8583333333336</v>
      </c>
      <c r="E46" s="54">
        <f t="shared" si="12"/>
        <v>3433.8583333333336</v>
      </c>
      <c r="F46" s="54">
        <f t="shared" si="12"/>
        <v>3413.8583333333336</v>
      </c>
      <c r="G46" s="54">
        <f t="shared" si="12"/>
        <v>3413.8583333333336</v>
      </c>
      <c r="H46" s="54">
        <f t="shared" si="12"/>
        <v>3413.8583333333336</v>
      </c>
      <c r="I46" s="54">
        <f t="shared" si="12"/>
        <v>3413.8583333333336</v>
      </c>
      <c r="J46" s="54">
        <f t="shared" si="12"/>
        <v>3413.8583333333336</v>
      </c>
      <c r="K46" s="54">
        <f t="shared" si="12"/>
        <v>3413.8583333333336</v>
      </c>
      <c r="L46" s="54">
        <f t="shared" si="12"/>
        <v>3413.8583333333336</v>
      </c>
      <c r="M46" s="54">
        <f t="shared" si="12"/>
        <v>3413.8583333333336</v>
      </c>
      <c r="N46" s="54">
        <f t="shared" si="12"/>
        <v>3413.8583333333336</v>
      </c>
      <c r="O46" s="54">
        <f t="shared" si="12"/>
        <v>40986.299999999996</v>
      </c>
      <c r="Q46" s="20"/>
    </row>
    <row r="47" spans="1:17" ht="16.5" thickTop="1">
      <c r="B47" s="11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</row>
    <row r="48" spans="1:17" s="17" customFormat="1" ht="16.5" thickBot="1">
      <c r="A48" s="9" t="s">
        <v>108</v>
      </c>
      <c r="B48" s="55" t="s">
        <v>109</v>
      </c>
      <c r="C48" s="56">
        <f t="shared" ref="C48:N48" si="13">SUM(C18-C46)</f>
        <v>1975.1616666666678</v>
      </c>
      <c r="D48" s="56">
        <f t="shared" si="13"/>
        <v>1975.1616666666678</v>
      </c>
      <c r="E48" s="56">
        <f t="shared" si="13"/>
        <v>1955.1616666666678</v>
      </c>
      <c r="F48" s="56">
        <f t="shared" si="13"/>
        <v>3322.4166666666661</v>
      </c>
      <c r="G48" s="56">
        <f t="shared" si="13"/>
        <v>1975.1616666666678</v>
      </c>
      <c r="H48" s="56">
        <f t="shared" si="13"/>
        <v>1975.1616666666678</v>
      </c>
      <c r="I48" s="56">
        <f t="shared" si="13"/>
        <v>627.90666666666675</v>
      </c>
      <c r="J48" s="56">
        <f t="shared" si="13"/>
        <v>1975.1616666666678</v>
      </c>
      <c r="K48" s="56">
        <f t="shared" si="13"/>
        <v>1975.1616666666678</v>
      </c>
      <c r="L48" s="56">
        <f t="shared" si="13"/>
        <v>3322.4166666666661</v>
      </c>
      <c r="M48" s="56">
        <f t="shared" si="13"/>
        <v>1975.1616666666678</v>
      </c>
      <c r="N48" s="56">
        <f t="shared" si="13"/>
        <v>627.90666666666675</v>
      </c>
      <c r="O48" s="56">
        <f>O26-O46</f>
        <v>35181.94000000001</v>
      </c>
    </row>
    <row r="49" spans="1:15" ht="15.75">
      <c r="B49" s="1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</row>
    <row r="50" spans="1:15" ht="15.75">
      <c r="A50" s="9" t="s">
        <v>60</v>
      </c>
      <c r="B50" s="75" t="s">
        <v>110</v>
      </c>
      <c r="C50" s="76">
        <f>C18-C46</f>
        <v>1975.1616666666678</v>
      </c>
      <c r="D50" s="76">
        <f t="shared" ref="D50:O50" si="14">D18-D46</f>
        <v>1975.1616666666678</v>
      </c>
      <c r="E50" s="76">
        <f t="shared" si="14"/>
        <v>1955.1616666666678</v>
      </c>
      <c r="F50" s="76">
        <f t="shared" si="14"/>
        <v>3322.4166666666661</v>
      </c>
      <c r="G50" s="76">
        <f t="shared" si="14"/>
        <v>1975.1616666666678</v>
      </c>
      <c r="H50" s="76">
        <f t="shared" si="14"/>
        <v>1975.1616666666678</v>
      </c>
      <c r="I50" s="76">
        <f t="shared" si="14"/>
        <v>627.90666666666675</v>
      </c>
      <c r="J50" s="76">
        <f t="shared" si="14"/>
        <v>1975.1616666666678</v>
      </c>
      <c r="K50" s="76">
        <f t="shared" si="14"/>
        <v>1975.1616666666678</v>
      </c>
      <c r="L50" s="76">
        <f t="shared" si="14"/>
        <v>3322.4166666666661</v>
      </c>
      <c r="M50" s="76">
        <f t="shared" si="14"/>
        <v>1975.1616666666678</v>
      </c>
      <c r="N50" s="76">
        <f t="shared" si="14"/>
        <v>627.90666666666675</v>
      </c>
      <c r="O50" s="77">
        <f t="shared" si="14"/>
        <v>23681.94000000001</v>
      </c>
    </row>
    <row r="51" spans="1:15" ht="15.75">
      <c r="B51" s="58" t="s">
        <v>111</v>
      </c>
      <c r="C51" s="59">
        <f t="shared" ref="C51:O51" si="15">C26-C46</f>
        <v>2933.4950000000008</v>
      </c>
      <c r="D51" s="59">
        <f t="shared" si="15"/>
        <v>2933.4950000000008</v>
      </c>
      <c r="E51" s="59">
        <f t="shared" si="15"/>
        <v>2913.4950000000008</v>
      </c>
      <c r="F51" s="59">
        <f t="shared" si="15"/>
        <v>4280.7499999999991</v>
      </c>
      <c r="G51" s="59">
        <f t="shared" si="15"/>
        <v>2933.4950000000008</v>
      </c>
      <c r="H51" s="59">
        <f t="shared" si="15"/>
        <v>2933.4950000000008</v>
      </c>
      <c r="I51" s="59">
        <f t="shared" si="15"/>
        <v>1586.2399999999998</v>
      </c>
      <c r="J51" s="59">
        <f t="shared" si="15"/>
        <v>2933.4950000000008</v>
      </c>
      <c r="K51" s="59">
        <f t="shared" si="15"/>
        <v>2933.4950000000008</v>
      </c>
      <c r="L51" s="59">
        <f t="shared" si="15"/>
        <v>4280.7499999999991</v>
      </c>
      <c r="M51" s="59">
        <f t="shared" si="15"/>
        <v>2933.4950000000008</v>
      </c>
      <c r="N51" s="59">
        <f t="shared" si="15"/>
        <v>1586.2399999999998</v>
      </c>
      <c r="O51" s="60">
        <f t="shared" si="15"/>
        <v>35181.94000000001</v>
      </c>
    </row>
    <row r="52" spans="1:15" ht="15.75">
      <c r="B52" s="11"/>
    </row>
    <row r="53" spans="1:15" ht="15.75">
      <c r="B53" s="11"/>
    </row>
    <row r="54" spans="1:15" ht="15.75">
      <c r="B54" s="11"/>
    </row>
    <row r="55" spans="1:15" ht="15.75">
      <c r="B55" s="11"/>
    </row>
    <row r="56" spans="1:15" ht="15.75">
      <c r="B56" s="11"/>
    </row>
    <row r="57" spans="1:15" ht="15.75">
      <c r="B57" s="11"/>
    </row>
    <row r="58" spans="1:15" ht="15.75">
      <c r="B58" s="11"/>
    </row>
    <row r="59" spans="1:15" ht="15.75">
      <c r="B59" s="11"/>
    </row>
    <row r="60" spans="1:15" ht="15.75">
      <c r="B60" s="11"/>
    </row>
    <row r="61" spans="1:15" ht="15.75">
      <c r="B61" s="11"/>
    </row>
    <row r="62" spans="1:15" ht="15.75">
      <c r="B62" s="11"/>
    </row>
    <row r="63" spans="1:15" ht="15.75">
      <c r="B63" s="11"/>
    </row>
    <row r="64" spans="1:15" ht="15.75">
      <c r="B64" s="11"/>
    </row>
    <row r="65" spans="2:2" ht="15.75">
      <c r="B65" s="11"/>
    </row>
    <row r="66" spans="2:2" ht="15.75">
      <c r="B66" s="11"/>
    </row>
    <row r="67" spans="2:2" ht="15.75">
      <c r="B67" s="11"/>
    </row>
    <row r="68" spans="2:2" ht="15.75">
      <c r="B68" s="11"/>
    </row>
    <row r="69" spans="2:2" ht="15.75">
      <c r="B69" s="11"/>
    </row>
    <row r="70" spans="2:2" ht="15.75">
      <c r="B70" s="11"/>
    </row>
    <row r="71" spans="2:2" ht="15.75">
      <c r="B71" s="11"/>
    </row>
    <row r="72" spans="2:2" ht="15.75">
      <c r="B72" s="11"/>
    </row>
    <row r="73" spans="2:2" ht="15.75">
      <c r="B73" s="11"/>
    </row>
    <row r="74" spans="2:2" ht="15.75">
      <c r="B74" s="11"/>
    </row>
    <row r="75" spans="2:2" ht="15.75">
      <c r="B75" s="11"/>
    </row>
    <row r="76" spans="2:2" ht="15.75">
      <c r="B76" s="11"/>
    </row>
    <row r="77" spans="2:2" ht="15.75">
      <c r="B77" s="11"/>
    </row>
    <row r="78" spans="2:2" ht="15.75">
      <c r="B78" s="11"/>
    </row>
    <row r="79" spans="2:2" ht="15.75">
      <c r="B79" s="11"/>
    </row>
    <row r="80" spans="2:2" ht="15.75">
      <c r="B80" s="11"/>
    </row>
    <row r="81" spans="2:2" ht="15.75">
      <c r="B81" s="11"/>
    </row>
    <row r="82" spans="2:2" ht="15.75">
      <c r="B82" s="11"/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792D3-8025-4CE8-9B39-408FF4070078}">
  <sheetPr>
    <tabColor theme="9" tint="0.39997558519241921"/>
  </sheetPr>
  <dimension ref="A1:Q82"/>
  <sheetViews>
    <sheetView zoomScale="90" zoomScaleNormal="90" workbookViewId="0">
      <pane ySplit="2" topLeftCell="A26" activePane="bottomLeft" state="frozen"/>
      <selection pane="bottomLeft" activeCell="P46" sqref="P46"/>
    </sheetView>
  </sheetViews>
  <sheetFormatPr defaultColWidth="8.85546875" defaultRowHeight="12.75"/>
  <cols>
    <col min="1" max="1" width="21.42578125" style="10" customWidth="1"/>
    <col min="2" max="2" width="48.42578125" style="10" customWidth="1"/>
    <col min="3" max="3" width="12.42578125" style="10" customWidth="1"/>
    <col min="4" max="4" width="11.140625" style="10" bestFit="1" customWidth="1"/>
    <col min="5" max="5" width="11" style="10" customWidth="1"/>
    <col min="6" max="14" width="11.140625" style="10" bestFit="1" customWidth="1"/>
    <col min="15" max="15" width="12.7109375" style="10" bestFit="1" customWidth="1"/>
    <col min="16" max="16" width="10.140625" bestFit="1" customWidth="1"/>
    <col min="17" max="17" width="11.140625" bestFit="1" customWidth="1"/>
  </cols>
  <sheetData>
    <row r="1" spans="1:17" s="80" customFormat="1" ht="42.75" customHeight="1">
      <c r="A1" s="78" t="s">
        <v>115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7" ht="15.75">
      <c r="A2" s="9" t="s">
        <v>64</v>
      </c>
      <c r="C2" s="61" t="s">
        <v>65</v>
      </c>
      <c r="D2" s="61" t="s">
        <v>66</v>
      </c>
      <c r="E2" s="61" t="s">
        <v>67</v>
      </c>
      <c r="F2" s="61" t="s">
        <v>68</v>
      </c>
      <c r="G2" s="61" t="s">
        <v>69</v>
      </c>
      <c r="H2" s="61" t="s">
        <v>70</v>
      </c>
      <c r="I2" s="61" t="s">
        <v>71</v>
      </c>
      <c r="J2" s="61" t="s">
        <v>72</v>
      </c>
      <c r="K2" s="61" t="s">
        <v>73</v>
      </c>
      <c r="L2" s="61" t="s">
        <v>74</v>
      </c>
      <c r="M2" s="61" t="s">
        <v>75</v>
      </c>
      <c r="N2" s="61" t="s">
        <v>76</v>
      </c>
      <c r="O2" s="62" t="s">
        <v>77</v>
      </c>
    </row>
    <row r="3" spans="1:17" ht="15">
      <c r="O3" s="36"/>
    </row>
    <row r="4" spans="1:17" ht="15.75">
      <c r="A4" s="36" t="s">
        <v>78</v>
      </c>
      <c r="B4" s="83" t="s">
        <v>79</v>
      </c>
      <c r="C4" s="81">
        <f>((income!$C$3*income!$D$3*1.05)*1.05)*1.05</f>
        <v>277.83000000000004</v>
      </c>
      <c r="D4" s="81">
        <f>((income!$C$3*income!$D$3*1.05)*1.05)*1.05</f>
        <v>277.83000000000004</v>
      </c>
      <c r="E4" s="81">
        <f>((income!$C$3*income!$D$3*1.05)*1.05)*1.05</f>
        <v>277.83000000000004</v>
      </c>
      <c r="F4" s="81">
        <f>((income!$C$3*income!$D$3*1.05)*1.05)*1.05</f>
        <v>277.83000000000004</v>
      </c>
      <c r="G4" s="81">
        <f>((income!$C$3*income!$D$3*1.05)*1.05)*1.05</f>
        <v>277.83000000000004</v>
      </c>
      <c r="H4" s="81">
        <f>((income!$C$3*income!$D$3*1.05)*1.05)*1.05</f>
        <v>277.83000000000004</v>
      </c>
      <c r="I4" s="81">
        <f>((income!$C$3*income!$D$3*1.05)*1.05)*1.05</f>
        <v>277.83000000000004</v>
      </c>
      <c r="J4" s="81">
        <f>((income!$C$3*income!$D$3*1.05)*1.05)*1.05</f>
        <v>277.83000000000004</v>
      </c>
      <c r="K4" s="81">
        <f>((income!$C$3*income!$D$3*1.05)*1.05)*1.05</f>
        <v>277.83000000000004</v>
      </c>
      <c r="L4" s="81">
        <f>((income!$C$3*income!$D$3*1.05)*1.05)*1.05</f>
        <v>277.83000000000004</v>
      </c>
      <c r="M4" s="81">
        <f>((income!$C$3*income!$D$3*1.05)*1.05)*1.05</f>
        <v>277.83000000000004</v>
      </c>
      <c r="N4" s="81">
        <f>((income!$C$3*income!$D$3*1.05)*1.05)*1.05</f>
        <v>277.83000000000004</v>
      </c>
      <c r="O4" s="82">
        <f>SUM(C4:N4)</f>
        <v>3333.9599999999996</v>
      </c>
      <c r="P4" s="18"/>
    </row>
    <row r="5" spans="1:17" ht="15">
      <c r="A5" s="36"/>
      <c r="B5" s="40" t="s">
        <v>80</v>
      </c>
      <c r="C5" s="38">
        <v>4</v>
      </c>
      <c r="D5" s="38">
        <v>4</v>
      </c>
      <c r="E5" s="38">
        <v>4</v>
      </c>
      <c r="F5" s="38">
        <v>5</v>
      </c>
      <c r="G5" s="38">
        <v>4</v>
      </c>
      <c r="H5" s="38">
        <v>4</v>
      </c>
      <c r="I5" s="38">
        <v>3</v>
      </c>
      <c r="J5" s="38">
        <v>4</v>
      </c>
      <c r="K5" s="38">
        <v>4</v>
      </c>
      <c r="L5" s="38">
        <v>5</v>
      </c>
      <c r="M5" s="38">
        <v>4</v>
      </c>
      <c r="N5" s="38">
        <v>3</v>
      </c>
      <c r="O5" s="39"/>
      <c r="Q5" s="20"/>
    </row>
    <row r="6" spans="1:17" ht="15.75">
      <c r="A6" s="36"/>
      <c r="B6" s="37" t="s">
        <v>81</v>
      </c>
      <c r="C6" s="63">
        <f>C4*C5</f>
        <v>1111.3200000000002</v>
      </c>
      <c r="D6" s="63">
        <f t="shared" ref="D6:N6" si="0">D4*D5</f>
        <v>1111.3200000000002</v>
      </c>
      <c r="E6" s="63">
        <f t="shared" si="0"/>
        <v>1111.3200000000002</v>
      </c>
      <c r="F6" s="63">
        <f t="shared" si="0"/>
        <v>1389.15</v>
      </c>
      <c r="G6" s="63">
        <f t="shared" si="0"/>
        <v>1111.3200000000002</v>
      </c>
      <c r="H6" s="63">
        <f t="shared" si="0"/>
        <v>1111.3200000000002</v>
      </c>
      <c r="I6" s="63">
        <f t="shared" si="0"/>
        <v>833.49000000000012</v>
      </c>
      <c r="J6" s="63">
        <f t="shared" si="0"/>
        <v>1111.3200000000002</v>
      </c>
      <c r="K6" s="63">
        <f t="shared" si="0"/>
        <v>1111.3200000000002</v>
      </c>
      <c r="L6" s="63">
        <f t="shared" si="0"/>
        <v>1389.15</v>
      </c>
      <c r="M6" s="63">
        <f t="shared" si="0"/>
        <v>1111.3200000000002</v>
      </c>
      <c r="N6" s="63">
        <f t="shared" si="0"/>
        <v>833.49000000000012</v>
      </c>
      <c r="O6" s="39">
        <f>SUM(C6:N6)</f>
        <v>13335.839999999998</v>
      </c>
      <c r="Q6" s="20"/>
    </row>
    <row r="7" spans="1:17" ht="15.75">
      <c r="A7" s="36"/>
      <c r="B7" s="37" t="s">
        <v>82</v>
      </c>
      <c r="C7" s="63">
        <f>((((income!$C$4*income!$D$4)*C5)*1.05)*1.05)*1.05</f>
        <v>2500.4700000000003</v>
      </c>
      <c r="D7" s="63">
        <f>((((income!$C$4*income!$D$4)*D5)*1.05)*1.05)*1.05</f>
        <v>2500.4700000000003</v>
      </c>
      <c r="E7" s="63">
        <f>((((income!$C$4*income!$D$4)*E5)*1.05)*1.05)*1.05</f>
        <v>2500.4700000000003</v>
      </c>
      <c r="F7" s="63">
        <f>((((income!$C$4*income!$D$4)*F5)*1.05)*1.05)*1.05</f>
        <v>3125.5875000000001</v>
      </c>
      <c r="G7" s="63">
        <f>((((income!$C$4*income!$D$4)*G5)*1.05)*1.05)*1.05</f>
        <v>2500.4700000000003</v>
      </c>
      <c r="H7" s="63">
        <f>((((income!$C$4*income!$D$4)*H5)*1.05)*1.05)*1.05</f>
        <v>2500.4700000000003</v>
      </c>
      <c r="I7" s="63">
        <f>((((income!$C$4*income!$D$4)*I5)*1.05)*1.05)*1.05</f>
        <v>1875.3525000000002</v>
      </c>
      <c r="J7" s="63">
        <f>((((income!$C$4*income!$D$4)*J5)*1.05)*1.05)*1.05</f>
        <v>2500.4700000000003</v>
      </c>
      <c r="K7" s="63">
        <f>((((income!$C$4*income!$D$4)*K5)*1.05)*1.05)*1.05</f>
        <v>2500.4700000000003</v>
      </c>
      <c r="L7" s="63">
        <f>((((income!$C$4*income!$D$4)*L5)*1.05)*1.05)*1.05</f>
        <v>3125.5875000000001</v>
      </c>
      <c r="M7" s="63">
        <f>((((income!$C$4*income!$D$4)*M5)*1.05)*1.05)*1.05</f>
        <v>2500.4700000000003</v>
      </c>
      <c r="N7" s="63">
        <f>((((income!$C$4*income!$D$4)*N5)*1.05)*1.05)*1.05</f>
        <v>1875.3525000000002</v>
      </c>
      <c r="O7" s="39">
        <f t="shared" ref="O7:O8" si="1">SUM(C7:N7)</f>
        <v>30005.64000000001</v>
      </c>
      <c r="Q7" s="20"/>
    </row>
    <row r="8" spans="1:17" ht="15.75">
      <c r="A8" s="36"/>
      <c r="B8" s="37" t="s">
        <v>83</v>
      </c>
      <c r="C8" s="63">
        <f>((((income!$C$5*income!$D$5)*C5)*1.05)*1.05)*1.05</f>
        <v>740.88000000000011</v>
      </c>
      <c r="D8" s="63">
        <f>((((income!$C$5*income!$D$5)*D5)*1.05)*1.05)*1.05</f>
        <v>740.88000000000011</v>
      </c>
      <c r="E8" s="63">
        <f>((((income!$C$5*income!$D$5)*E5)*1.05)*1.05)*1.05</f>
        <v>740.88000000000011</v>
      </c>
      <c r="F8" s="63">
        <f>((((income!$C$5*income!$D$5)*F5)*1.05)*1.05)*1.05</f>
        <v>926.1</v>
      </c>
      <c r="G8" s="63">
        <f>((((income!$C$5*income!$D$5)*G5)*1.05)*1.05)*1.05</f>
        <v>740.88000000000011</v>
      </c>
      <c r="H8" s="63">
        <f>((((income!$C$5*income!$D$5)*H5)*1.05)*1.05)*1.05</f>
        <v>740.88000000000011</v>
      </c>
      <c r="I8" s="63">
        <f>((((income!$C$5*income!$D$5)*I5)*1.05)*1.05)*1.05</f>
        <v>555.66000000000008</v>
      </c>
      <c r="J8" s="63">
        <f>((((income!$C$5*income!$D$5)*J5)*1.05)*1.05)*1.05</f>
        <v>740.88000000000011</v>
      </c>
      <c r="K8" s="63">
        <f>((((income!$C$5*income!$D$5)*K5)*1.05)*1.05)*1.05</f>
        <v>740.88000000000011</v>
      </c>
      <c r="L8" s="63">
        <f>((((income!$C$5*income!$D$5)*L5)*1.05)*1.05)*1.05</f>
        <v>926.1</v>
      </c>
      <c r="M8" s="63">
        <f>((((income!$C$5*income!$D$5)*M5)*1.05)*1.05)*1.05</f>
        <v>740.88000000000011</v>
      </c>
      <c r="N8" s="63">
        <f>((((income!$C$5*income!$D$5)*N5)*1.05)*1.05)*1.05</f>
        <v>555.66000000000008</v>
      </c>
      <c r="O8" s="39">
        <f t="shared" si="1"/>
        <v>8890.5600000000013</v>
      </c>
      <c r="Q8" s="20"/>
    </row>
    <row r="9" spans="1:17" ht="15.75">
      <c r="A9" s="36"/>
      <c r="B9" s="37" t="s">
        <v>84</v>
      </c>
      <c r="C9" s="63">
        <f>((((income!$C$6*income!$D$6)*C5)*1.05)*1.05)*1.05</f>
        <v>1111.3200000000002</v>
      </c>
      <c r="D9" s="63">
        <f>((((income!$C$6*income!$D$6)*D5)*1.05)*1.05)*1.05</f>
        <v>1111.3200000000002</v>
      </c>
      <c r="E9" s="63">
        <f>((((income!$C$6*income!$D$6)*E5)*1.05)*1.05)*1.05</f>
        <v>1111.3200000000002</v>
      </c>
      <c r="F9" s="63">
        <f>((((income!$C$6*income!$D$6)*F5)*1.05)*1.05)*1.05</f>
        <v>1389.15</v>
      </c>
      <c r="G9" s="63">
        <f>((((income!$C$6*income!$D$6)*G5)*1.05)*1.05)*1.05</f>
        <v>1111.3200000000002</v>
      </c>
      <c r="H9" s="63">
        <f>((((income!$C$6*income!$D$6)*H5)*1.05)*1.05)*1.05</f>
        <v>1111.3200000000002</v>
      </c>
      <c r="I9" s="63">
        <f>((((income!$C$6*income!$D$6)*I5)*1.05)*1.05)*1.05</f>
        <v>833.49000000000012</v>
      </c>
      <c r="J9" s="63">
        <f>((((income!$C$6*income!$D$6)*J5)*1.05)*1.05)*1.05</f>
        <v>1111.3200000000002</v>
      </c>
      <c r="K9" s="63">
        <f>((((income!$C$6*income!$D$6)*K5)*1.05)*1.05)*1.05</f>
        <v>1111.3200000000002</v>
      </c>
      <c r="L9" s="63">
        <f>((((income!$C$6*income!$D$6)*L5)*1.05)*1.05)*1.05</f>
        <v>1389.15</v>
      </c>
      <c r="M9" s="63">
        <f>((((income!$C$6*income!$D$6)*M5)*1.05)*1.05)*1.05</f>
        <v>1111.3200000000002</v>
      </c>
      <c r="N9" s="63">
        <f>((((income!$C$6*income!$D$6)*N5)*1.05)*1.05)*1.05</f>
        <v>833.49000000000012</v>
      </c>
      <c r="O9" s="39">
        <f>SUM(C9:N9)</f>
        <v>13335.839999999998</v>
      </c>
      <c r="P9" s="19"/>
      <c r="Q9" s="20"/>
    </row>
    <row r="10" spans="1:17" ht="15.75">
      <c r="A10" s="36"/>
      <c r="B10" s="37" t="s">
        <v>85</v>
      </c>
      <c r="C10" s="63">
        <f>((((income!$C$7*income!$D$7)*C5)*1.05)*1.05)*1.05</f>
        <v>194.48100000000002</v>
      </c>
      <c r="D10" s="63">
        <f>((((income!$C$7*income!$D$7)*D5)*1.05)*1.05)*1.05</f>
        <v>194.48100000000002</v>
      </c>
      <c r="E10" s="63">
        <f>((((income!$C$7*income!$D$7)*E5)*1.05)*1.05)*1.05</f>
        <v>194.48100000000002</v>
      </c>
      <c r="F10" s="63">
        <f>((((income!$C$7*income!$D$7)*F5)*1.05)*1.05)*1.05</f>
        <v>243.10125000000002</v>
      </c>
      <c r="G10" s="63">
        <f>((((income!$C$7*income!$D$7)*G5)*1.05)*1.05)*1.05</f>
        <v>194.48100000000002</v>
      </c>
      <c r="H10" s="63">
        <f>((((income!$C$7*income!$D$7)*H5)*1.05)*1.05)*1.05</f>
        <v>194.48100000000002</v>
      </c>
      <c r="I10" s="63">
        <f>((((income!$C$7*income!$D$7)*I5)*1.05)*1.05)*1.05</f>
        <v>145.86075000000002</v>
      </c>
      <c r="J10" s="63">
        <f>((((income!$C$7*income!$D$7)*J5)*1.05)*1.05)*1.05</f>
        <v>194.48100000000002</v>
      </c>
      <c r="K10" s="63">
        <f>((((income!$C$7*income!$D$7)*K5)*1.05)*1.05)*1.05</f>
        <v>194.48100000000002</v>
      </c>
      <c r="L10" s="63">
        <f>((((income!$C$7*income!$D$7)*L5)*1.05)*1.05)*1.05</f>
        <v>243.10125000000002</v>
      </c>
      <c r="M10" s="63">
        <f>((((income!$C$7*income!$D$7)*M5)*1.05)*1.05)*1.05</f>
        <v>194.48100000000002</v>
      </c>
      <c r="N10" s="63">
        <f>((((income!$C$7*income!$D$7)*N5)*1.05)*1.05)*1.05</f>
        <v>145.86075000000002</v>
      </c>
      <c r="O10" s="39">
        <f>SUM(C10:N10)</f>
        <v>2333.7719999999999</v>
      </c>
      <c r="P10" s="19"/>
      <c r="Q10" s="20"/>
    </row>
    <row r="11" spans="1:17" ht="16.5" thickBot="1">
      <c r="A11" s="36"/>
      <c r="B11" s="41" t="s">
        <v>86</v>
      </c>
      <c r="C11" s="64">
        <f>SUM(C6:C10)</f>
        <v>5658.4709999999995</v>
      </c>
      <c r="D11" s="64">
        <f t="shared" ref="D11:N11" si="2">SUM(D6:D10)</f>
        <v>5658.4709999999995</v>
      </c>
      <c r="E11" s="64">
        <f t="shared" si="2"/>
        <v>5658.4709999999995</v>
      </c>
      <c r="F11" s="64">
        <f t="shared" si="2"/>
        <v>7073.0887500000008</v>
      </c>
      <c r="G11" s="64">
        <f t="shared" si="2"/>
        <v>5658.4709999999995</v>
      </c>
      <c r="H11" s="64">
        <f t="shared" si="2"/>
        <v>5658.4709999999995</v>
      </c>
      <c r="I11" s="64">
        <f t="shared" si="2"/>
        <v>4243.8532500000001</v>
      </c>
      <c r="J11" s="64">
        <f t="shared" si="2"/>
        <v>5658.4709999999995</v>
      </c>
      <c r="K11" s="64">
        <f t="shared" si="2"/>
        <v>5658.4709999999995</v>
      </c>
      <c r="L11" s="64">
        <f t="shared" si="2"/>
        <v>7073.0887500000008</v>
      </c>
      <c r="M11" s="64">
        <f t="shared" si="2"/>
        <v>5658.4709999999995</v>
      </c>
      <c r="N11" s="64">
        <f t="shared" si="2"/>
        <v>4243.8532500000001</v>
      </c>
      <c r="O11" s="43">
        <f>SUM(O6:O10)</f>
        <v>67901.652000000002</v>
      </c>
      <c r="Q11" s="20"/>
    </row>
    <row r="12" spans="1:17" ht="15">
      <c r="A12" s="36"/>
      <c r="B12" s="40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9"/>
      <c r="Q12" s="20"/>
    </row>
    <row r="13" spans="1:17" ht="15.75">
      <c r="B13" s="11" t="s">
        <v>87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9">
        <f t="shared" ref="O13:O29" si="3">SUM(C13:N13)</f>
        <v>0</v>
      </c>
    </row>
    <row r="14" spans="1:17" ht="15.75">
      <c r="A14" s="36"/>
      <c r="B14" s="11" t="s">
        <v>87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9">
        <f t="shared" si="3"/>
        <v>0</v>
      </c>
    </row>
    <row r="15" spans="1:17" ht="15.75">
      <c r="A15" s="36"/>
      <c r="B15" s="44" t="s">
        <v>87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>
        <f t="shared" si="3"/>
        <v>0</v>
      </c>
    </row>
    <row r="16" spans="1:17" ht="16.5" thickBot="1">
      <c r="B16" s="45" t="s">
        <v>88</v>
      </c>
      <c r="C16" s="42">
        <f>SUM(C13:C15)</f>
        <v>0</v>
      </c>
      <c r="D16" s="42">
        <f t="shared" ref="D16:O16" si="4">SUM(D13:D15)</f>
        <v>0</v>
      </c>
      <c r="E16" s="42">
        <f>SUM(E13:E15)</f>
        <v>0</v>
      </c>
      <c r="F16" s="42">
        <f t="shared" si="4"/>
        <v>0</v>
      </c>
      <c r="G16" s="42">
        <f t="shared" si="4"/>
        <v>0</v>
      </c>
      <c r="H16" s="42">
        <f t="shared" si="4"/>
        <v>0</v>
      </c>
      <c r="I16" s="42">
        <f t="shared" si="4"/>
        <v>0</v>
      </c>
      <c r="J16" s="42">
        <f t="shared" si="4"/>
        <v>0</v>
      </c>
      <c r="K16" s="42">
        <f t="shared" si="4"/>
        <v>0</v>
      </c>
      <c r="L16" s="42">
        <f t="shared" si="4"/>
        <v>0</v>
      </c>
      <c r="M16" s="42">
        <f t="shared" si="4"/>
        <v>0</v>
      </c>
      <c r="N16" s="42">
        <f>SUM(N13:N15)</f>
        <v>0</v>
      </c>
      <c r="O16" s="43">
        <f t="shared" si="4"/>
        <v>0</v>
      </c>
    </row>
    <row r="17" spans="1:17" ht="15.75">
      <c r="A17" s="36"/>
      <c r="B17" s="44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9"/>
    </row>
    <row r="18" spans="1:17" ht="16.5" thickBot="1">
      <c r="A18" s="36"/>
      <c r="B18" s="46" t="s">
        <v>89</v>
      </c>
      <c r="C18" s="43">
        <f>C11+C16</f>
        <v>5658.4709999999995</v>
      </c>
      <c r="D18" s="43">
        <f t="shared" ref="D18:N18" si="5">D11+D16</f>
        <v>5658.4709999999995</v>
      </c>
      <c r="E18" s="43">
        <f t="shared" si="5"/>
        <v>5658.4709999999995</v>
      </c>
      <c r="F18" s="43">
        <f t="shared" si="5"/>
        <v>7073.0887500000008</v>
      </c>
      <c r="G18" s="43">
        <f t="shared" si="5"/>
        <v>5658.4709999999995</v>
      </c>
      <c r="H18" s="43">
        <f t="shared" si="5"/>
        <v>5658.4709999999995</v>
      </c>
      <c r="I18" s="43">
        <f t="shared" si="5"/>
        <v>4243.8532500000001</v>
      </c>
      <c r="J18" s="43">
        <f t="shared" si="5"/>
        <v>5658.4709999999995</v>
      </c>
      <c r="K18" s="43">
        <f t="shared" si="5"/>
        <v>5658.4709999999995</v>
      </c>
      <c r="L18" s="43">
        <f t="shared" si="5"/>
        <v>7073.0887500000008</v>
      </c>
      <c r="M18" s="43">
        <f t="shared" si="5"/>
        <v>5658.4709999999995</v>
      </c>
      <c r="N18" s="43">
        <f t="shared" si="5"/>
        <v>4243.8532500000001</v>
      </c>
      <c r="O18" s="43">
        <f>O11+O16</f>
        <v>67901.652000000002</v>
      </c>
    </row>
    <row r="19" spans="1:17" ht="15.75">
      <c r="A19" s="36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9"/>
    </row>
    <row r="20" spans="1:17" ht="15.75">
      <c r="A20" s="36" t="s">
        <v>55</v>
      </c>
      <c r="B20" s="11" t="s">
        <v>37</v>
      </c>
      <c r="C20" s="47">
        <f>('Potential funders'!$B$4/12)*1.05</f>
        <v>87.5</v>
      </c>
      <c r="D20" s="47">
        <f>('Potential funders'!$B$4/12)*1.05</f>
        <v>87.5</v>
      </c>
      <c r="E20" s="47">
        <f>('Potential funders'!$B$4/12)*1.05</f>
        <v>87.5</v>
      </c>
      <c r="F20" s="47">
        <f>('Potential funders'!$B$4/12)*1.05</f>
        <v>87.5</v>
      </c>
      <c r="G20" s="47">
        <f>('Potential funders'!$B$4/12)*1.05</f>
        <v>87.5</v>
      </c>
      <c r="H20" s="47">
        <f>('Potential funders'!$B$4/12)*1.05</f>
        <v>87.5</v>
      </c>
      <c r="I20" s="47">
        <f>('Potential funders'!$B$4/12)*1.05</f>
        <v>87.5</v>
      </c>
      <c r="J20" s="47">
        <f>('Potential funders'!$B$4/12)*1.05</f>
        <v>87.5</v>
      </c>
      <c r="K20" s="47">
        <f>('Potential funders'!$B$4/12)*1.05</f>
        <v>87.5</v>
      </c>
      <c r="L20" s="47">
        <f>('Potential funders'!$B$4/12)*1.05</f>
        <v>87.5</v>
      </c>
      <c r="M20" s="47">
        <f>('Potential funders'!$B$4/12)*1.05</f>
        <v>87.5</v>
      </c>
      <c r="N20" s="47">
        <f>('Potential funders'!$B$4/12)*1.05</f>
        <v>87.5</v>
      </c>
      <c r="O20" s="39">
        <f t="shared" si="3"/>
        <v>1050</v>
      </c>
    </row>
    <row r="21" spans="1:17" ht="15.75">
      <c r="B21" s="11" t="s">
        <v>39</v>
      </c>
      <c r="C21" s="38"/>
      <c r="D21" s="38"/>
      <c r="E21" s="38"/>
      <c r="F21" s="38"/>
      <c r="G21" s="38"/>
      <c r="H21" s="38"/>
      <c r="I21" s="38"/>
      <c r="J21" s="38"/>
      <c r="K21" s="38"/>
      <c r="L21" s="48"/>
      <c r="M21" s="38"/>
      <c r="N21" s="38"/>
      <c r="O21" s="39">
        <f>SUM(C21:N21)</f>
        <v>0</v>
      </c>
    </row>
    <row r="22" spans="1:17" ht="15.75">
      <c r="B22" s="11" t="s">
        <v>41</v>
      </c>
      <c r="C22" s="38">
        <f>'Potential funders'!$B$19/12</f>
        <v>875</v>
      </c>
      <c r="D22" s="38">
        <f>'Potential funders'!$B$19/12</f>
        <v>875</v>
      </c>
      <c r="E22" s="38">
        <f>'Potential funders'!$B$19/12</f>
        <v>875</v>
      </c>
      <c r="F22" s="38">
        <f>'Potential funders'!$B$19/12</f>
        <v>875</v>
      </c>
      <c r="G22" s="38">
        <f>'Potential funders'!$B$19/12</f>
        <v>875</v>
      </c>
      <c r="H22" s="38">
        <f>'Potential funders'!$B$19/12</f>
        <v>875</v>
      </c>
      <c r="I22" s="38">
        <f>'Potential funders'!$B$19/12</f>
        <v>875</v>
      </c>
      <c r="J22" s="38">
        <f>'Potential funders'!$B$19/12</f>
        <v>875</v>
      </c>
      <c r="K22" s="38">
        <f>'Potential funders'!$B$19/12</f>
        <v>875</v>
      </c>
      <c r="L22" s="38">
        <f>'Potential funders'!$B$19/12</f>
        <v>875</v>
      </c>
      <c r="M22" s="38">
        <f>'Potential funders'!$B$19/12</f>
        <v>875</v>
      </c>
      <c r="N22" s="38">
        <f>'Potential funders'!$B$19/12</f>
        <v>875</v>
      </c>
      <c r="O22" s="39">
        <f>SUM(C22:N22)</f>
        <v>10500</v>
      </c>
    </row>
    <row r="23" spans="1:17" ht="15.75">
      <c r="B23" s="11" t="s">
        <v>45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</row>
    <row r="24" spans="1:17" ht="16.5" thickBot="1">
      <c r="B24" s="49" t="s">
        <v>90</v>
      </c>
      <c r="C24" s="50">
        <f t="shared" ref="C24:O24" si="6">SUM(C20:C22)</f>
        <v>962.5</v>
      </c>
      <c r="D24" s="50">
        <f t="shared" si="6"/>
        <v>962.5</v>
      </c>
      <c r="E24" s="50">
        <f t="shared" si="6"/>
        <v>962.5</v>
      </c>
      <c r="F24" s="50">
        <f t="shared" si="6"/>
        <v>962.5</v>
      </c>
      <c r="G24" s="50">
        <f t="shared" si="6"/>
        <v>962.5</v>
      </c>
      <c r="H24" s="50">
        <f t="shared" si="6"/>
        <v>962.5</v>
      </c>
      <c r="I24" s="50">
        <f t="shared" si="6"/>
        <v>962.5</v>
      </c>
      <c r="J24" s="50">
        <f t="shared" si="6"/>
        <v>962.5</v>
      </c>
      <c r="K24" s="50">
        <f t="shared" si="6"/>
        <v>962.5</v>
      </c>
      <c r="L24" s="50">
        <f t="shared" si="6"/>
        <v>962.5</v>
      </c>
      <c r="M24" s="50">
        <f t="shared" si="6"/>
        <v>962.5</v>
      </c>
      <c r="N24" s="50">
        <f>SUM(N20:N22)</f>
        <v>962.5</v>
      </c>
      <c r="O24" s="50">
        <f t="shared" si="6"/>
        <v>11550</v>
      </c>
      <c r="Q24" s="21"/>
    </row>
    <row r="25" spans="1:17" ht="15.75">
      <c r="B25" s="1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</row>
    <row r="26" spans="1:17" ht="16.5" thickBot="1">
      <c r="B26" s="34" t="s">
        <v>91</v>
      </c>
      <c r="C26" s="35">
        <f>C18+C24</f>
        <v>6620.9709999999995</v>
      </c>
      <c r="D26" s="35">
        <f t="shared" ref="D26:N26" si="7">D18+D24</f>
        <v>6620.9709999999995</v>
      </c>
      <c r="E26" s="35">
        <f t="shared" si="7"/>
        <v>6620.9709999999995</v>
      </c>
      <c r="F26" s="35">
        <f t="shared" si="7"/>
        <v>8035.5887500000008</v>
      </c>
      <c r="G26" s="35">
        <f t="shared" si="7"/>
        <v>6620.9709999999995</v>
      </c>
      <c r="H26" s="35">
        <f t="shared" si="7"/>
        <v>6620.9709999999995</v>
      </c>
      <c r="I26" s="35">
        <f t="shared" si="7"/>
        <v>5206.3532500000001</v>
      </c>
      <c r="J26" s="35">
        <f t="shared" si="7"/>
        <v>6620.9709999999995</v>
      </c>
      <c r="K26" s="35">
        <f t="shared" si="7"/>
        <v>6620.9709999999995</v>
      </c>
      <c r="L26" s="35">
        <f t="shared" si="7"/>
        <v>8035.5887500000008</v>
      </c>
      <c r="M26" s="35">
        <f t="shared" si="7"/>
        <v>6620.9709999999995</v>
      </c>
      <c r="N26" s="35">
        <f t="shared" si="7"/>
        <v>5206.3532500000001</v>
      </c>
      <c r="O26" s="35">
        <f>SUM(O18+O24)</f>
        <v>79451.652000000002</v>
      </c>
    </row>
    <row r="27" spans="1:17" ht="16.5" thickTop="1">
      <c r="B27" s="1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2"/>
      <c r="P27" s="23"/>
    </row>
    <row r="28" spans="1:17" ht="15.75">
      <c r="A28" s="9" t="s">
        <v>92</v>
      </c>
      <c r="B28" s="11" t="s">
        <v>93</v>
      </c>
      <c r="C28" s="38">
        <v>20</v>
      </c>
      <c r="D28" s="38">
        <v>20</v>
      </c>
      <c r="E28" s="38">
        <v>20</v>
      </c>
      <c r="F28" s="38">
        <v>20</v>
      </c>
      <c r="G28" s="38">
        <v>20</v>
      </c>
      <c r="H28" s="38">
        <v>20</v>
      </c>
      <c r="I28" s="38">
        <v>20</v>
      </c>
      <c r="J28" s="38">
        <v>20</v>
      </c>
      <c r="K28" s="38">
        <v>20</v>
      </c>
      <c r="L28" s="38">
        <v>20</v>
      </c>
      <c r="M28" s="38">
        <v>20</v>
      </c>
      <c r="N28" s="38">
        <v>20</v>
      </c>
      <c r="O28" s="39">
        <f>SUM(C28:N28)</f>
        <v>240</v>
      </c>
      <c r="P28" s="24"/>
      <c r="Q28" s="24"/>
    </row>
    <row r="29" spans="1:17" ht="15.75">
      <c r="B29" s="11" t="s">
        <v>94</v>
      </c>
      <c r="C29" s="38">
        <f>(22*1.05)*1.05</f>
        <v>24.255000000000003</v>
      </c>
      <c r="D29" s="38">
        <f t="shared" ref="D29:N29" si="8">(22*1.05)*1.05</f>
        <v>24.255000000000003</v>
      </c>
      <c r="E29" s="38">
        <f t="shared" si="8"/>
        <v>24.255000000000003</v>
      </c>
      <c r="F29" s="38">
        <f t="shared" si="8"/>
        <v>24.255000000000003</v>
      </c>
      <c r="G29" s="38">
        <f t="shared" si="8"/>
        <v>24.255000000000003</v>
      </c>
      <c r="H29" s="38">
        <f t="shared" si="8"/>
        <v>24.255000000000003</v>
      </c>
      <c r="I29" s="38">
        <f t="shared" si="8"/>
        <v>24.255000000000003</v>
      </c>
      <c r="J29" s="38">
        <f t="shared" si="8"/>
        <v>24.255000000000003</v>
      </c>
      <c r="K29" s="38">
        <f t="shared" si="8"/>
        <v>24.255000000000003</v>
      </c>
      <c r="L29" s="38">
        <f t="shared" si="8"/>
        <v>24.255000000000003</v>
      </c>
      <c r="M29" s="38">
        <f t="shared" si="8"/>
        <v>24.255000000000003</v>
      </c>
      <c r="N29" s="38">
        <f t="shared" si="8"/>
        <v>24.255000000000003</v>
      </c>
      <c r="O29" s="39">
        <f t="shared" ref="O29:O44" si="9">SUM(C29:N29)</f>
        <v>291.06</v>
      </c>
      <c r="P29" s="23"/>
    </row>
    <row r="30" spans="1:17" ht="15.75">
      <c r="B30" s="11" t="s">
        <v>95</v>
      </c>
      <c r="C30" s="38">
        <f>[1]Expenses!$P$23</f>
        <v>0</v>
      </c>
      <c r="D30" s="38">
        <f>[1]Expenses!$P$23</f>
        <v>0</v>
      </c>
      <c r="E30" s="38">
        <f>[1]Expenses!$P$23</f>
        <v>0</v>
      </c>
      <c r="F30" s="38">
        <f>[1]Expenses!$P$23</f>
        <v>0</v>
      </c>
      <c r="G30" s="38">
        <f>[1]Expenses!$P$23</f>
        <v>0</v>
      </c>
      <c r="H30" s="38">
        <f>[1]Expenses!$P$23</f>
        <v>0</v>
      </c>
      <c r="I30" s="38">
        <f>[1]Expenses!$P$23</f>
        <v>0</v>
      </c>
      <c r="J30" s="38">
        <f>[1]Expenses!$P$23</f>
        <v>0</v>
      </c>
      <c r="K30" s="38">
        <f>[1]Expenses!$P$23</f>
        <v>0</v>
      </c>
      <c r="L30" s="38">
        <f>[1]Expenses!$P$23</f>
        <v>0</v>
      </c>
      <c r="M30" s="38">
        <f>[1]Expenses!$P$23</f>
        <v>0</v>
      </c>
      <c r="N30" s="38">
        <f>[1]Expenses!$P$23</f>
        <v>0</v>
      </c>
      <c r="O30" s="39">
        <f t="shared" si="9"/>
        <v>0</v>
      </c>
    </row>
    <row r="31" spans="1:17" ht="15.75">
      <c r="B31" s="11" t="s">
        <v>96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9">
        <f t="shared" si="9"/>
        <v>0</v>
      </c>
    </row>
    <row r="32" spans="1:17" ht="15.75">
      <c r="B32" s="11" t="s">
        <v>97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9">
        <f t="shared" si="9"/>
        <v>0</v>
      </c>
    </row>
    <row r="33" spans="1:17" ht="15.75">
      <c r="B33" s="11" t="s">
        <v>98</v>
      </c>
      <c r="C33" s="38">
        <f>(((expenses!$D$11/12)*1.05)*1.05)*1.05</f>
        <v>2508.1875</v>
      </c>
      <c r="D33" s="38">
        <f>(((expenses!$D$11/12)*1.05)*1.05)*1.05</f>
        <v>2508.1875</v>
      </c>
      <c r="E33" s="38">
        <f>(((expenses!$D$11/12)*1.05)*1.05)*1.05</f>
        <v>2508.1875</v>
      </c>
      <c r="F33" s="38">
        <f>(((expenses!$D$11/12)*1.05)*1.05)*1.05</f>
        <v>2508.1875</v>
      </c>
      <c r="G33" s="38">
        <f>(((expenses!$D$11/12)*1.05)*1.05)*1.05</f>
        <v>2508.1875</v>
      </c>
      <c r="H33" s="38">
        <f>(((expenses!$D$11/12)*1.05)*1.05)*1.05</f>
        <v>2508.1875</v>
      </c>
      <c r="I33" s="38">
        <f>(((expenses!$D$11/12)*1.05)*1.05)*1.05</f>
        <v>2508.1875</v>
      </c>
      <c r="J33" s="38">
        <f>(((expenses!$D$11/12)*1.05)*1.05)*1.05</f>
        <v>2508.1875</v>
      </c>
      <c r="K33" s="38">
        <f>(((expenses!$D$11/12)*1.05)*1.05)*1.05</f>
        <v>2508.1875</v>
      </c>
      <c r="L33" s="38">
        <f>(((expenses!$D$11/12)*1.05)*1.05)*1.05</f>
        <v>2508.1875</v>
      </c>
      <c r="M33" s="38">
        <f>(((expenses!$D$11/12)*1.05)*1.05)*1.05</f>
        <v>2508.1875</v>
      </c>
      <c r="N33" s="38">
        <f>(((expenses!$D$11/12)*1.05)*1.05)*1.05</f>
        <v>2508.1875</v>
      </c>
      <c r="O33" s="39">
        <f t="shared" si="9"/>
        <v>30098.25</v>
      </c>
    </row>
    <row r="34" spans="1:17" ht="15.75">
      <c r="B34" s="11" t="s">
        <v>99</v>
      </c>
      <c r="C34" s="38">
        <f>(((expenses!$D$16/12)*1.05)*1.05)*1.05</f>
        <v>96.46875</v>
      </c>
      <c r="D34" s="38">
        <f>(((expenses!$D$16/12)*1.05)*1.05)*1.05</f>
        <v>96.46875</v>
      </c>
      <c r="E34" s="38">
        <f>(((expenses!$D$16/12)*1.05)*1.05)*1.05</f>
        <v>96.46875</v>
      </c>
      <c r="F34" s="38">
        <f>(((expenses!$D$16/12)*1.05)*1.05)*1.05</f>
        <v>96.46875</v>
      </c>
      <c r="G34" s="38">
        <f>(((expenses!$D$16/12)*1.05)*1.05)*1.05</f>
        <v>96.46875</v>
      </c>
      <c r="H34" s="38">
        <f>(((expenses!$D$16/12)*1.05)*1.05)*1.05</f>
        <v>96.46875</v>
      </c>
      <c r="I34" s="38">
        <f>(((expenses!$D$16/12)*1.05)*1.05)*1.05</f>
        <v>96.46875</v>
      </c>
      <c r="J34" s="38">
        <f>(((expenses!$D$16/12)*1.05)*1.05)*1.05</f>
        <v>96.46875</v>
      </c>
      <c r="K34" s="38">
        <f>(((expenses!$D$16/12)*1.05)*1.05)*1.05</f>
        <v>96.46875</v>
      </c>
      <c r="L34" s="38">
        <f>(((expenses!$D$16/12)*1.05)*1.05)*1.05</f>
        <v>96.46875</v>
      </c>
      <c r="M34" s="38">
        <f>(((expenses!$D$16/12)*1.05)*1.05)*1.05</f>
        <v>96.46875</v>
      </c>
      <c r="N34" s="38">
        <f>(((expenses!$D$16/12)*1.05)*1.05)*1.05</f>
        <v>96.46875</v>
      </c>
      <c r="O34" s="39">
        <f t="shared" si="9"/>
        <v>1157.625</v>
      </c>
    </row>
    <row r="35" spans="1:17" ht="15.75">
      <c r="B35" s="11" t="s">
        <v>100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9">
        <f t="shared" si="9"/>
        <v>0</v>
      </c>
    </row>
    <row r="36" spans="1:17" ht="15.75">
      <c r="B36" s="11" t="s">
        <v>101</v>
      </c>
      <c r="C36" s="38">
        <f>(50*1.05)*1.05</f>
        <v>55.125</v>
      </c>
      <c r="D36" s="38">
        <f t="shared" ref="D36:N36" si="10">(50*1.05)*1.05</f>
        <v>55.125</v>
      </c>
      <c r="E36" s="38">
        <f t="shared" si="10"/>
        <v>55.125</v>
      </c>
      <c r="F36" s="38">
        <f t="shared" si="10"/>
        <v>55.125</v>
      </c>
      <c r="G36" s="38">
        <f t="shared" si="10"/>
        <v>55.125</v>
      </c>
      <c r="H36" s="38">
        <f t="shared" si="10"/>
        <v>55.125</v>
      </c>
      <c r="I36" s="38">
        <f t="shared" si="10"/>
        <v>55.125</v>
      </c>
      <c r="J36" s="38">
        <f t="shared" si="10"/>
        <v>55.125</v>
      </c>
      <c r="K36" s="38">
        <f t="shared" si="10"/>
        <v>55.125</v>
      </c>
      <c r="L36" s="38">
        <f t="shared" si="10"/>
        <v>55.125</v>
      </c>
      <c r="M36" s="38">
        <f t="shared" si="10"/>
        <v>55.125</v>
      </c>
      <c r="N36" s="38">
        <f t="shared" si="10"/>
        <v>55.125</v>
      </c>
      <c r="O36" s="39">
        <f t="shared" si="9"/>
        <v>661.5</v>
      </c>
    </row>
    <row r="37" spans="1:17" ht="15.75">
      <c r="B37" s="11" t="s">
        <v>102</v>
      </c>
      <c r="C37" s="38">
        <f>1000/12</f>
        <v>83.333333333333329</v>
      </c>
      <c r="D37" s="38">
        <f t="shared" ref="D37:N37" si="11">1000/12</f>
        <v>83.333333333333329</v>
      </c>
      <c r="E37" s="38">
        <f t="shared" si="11"/>
        <v>83.333333333333329</v>
      </c>
      <c r="F37" s="38">
        <f t="shared" si="11"/>
        <v>83.333333333333329</v>
      </c>
      <c r="G37" s="38">
        <f t="shared" si="11"/>
        <v>83.333333333333329</v>
      </c>
      <c r="H37" s="38">
        <f t="shared" si="11"/>
        <v>83.333333333333329</v>
      </c>
      <c r="I37" s="38">
        <f t="shared" si="11"/>
        <v>83.333333333333329</v>
      </c>
      <c r="J37" s="38">
        <f t="shared" si="11"/>
        <v>83.333333333333329</v>
      </c>
      <c r="K37" s="38">
        <f t="shared" si="11"/>
        <v>83.333333333333329</v>
      </c>
      <c r="L37" s="38">
        <f t="shared" si="11"/>
        <v>83.333333333333329</v>
      </c>
      <c r="M37" s="38">
        <f t="shared" si="11"/>
        <v>83.333333333333329</v>
      </c>
      <c r="N37" s="38">
        <f t="shared" si="11"/>
        <v>83.333333333333329</v>
      </c>
      <c r="O37" s="39">
        <f t="shared" si="9"/>
        <v>1000.0000000000001</v>
      </c>
    </row>
    <row r="38" spans="1:17" ht="15.75">
      <c r="B38" s="11" t="s">
        <v>16</v>
      </c>
      <c r="C38" s="38">
        <f>((expenses!$D$14/12)*1.05)*1.05</f>
        <v>91.875</v>
      </c>
      <c r="D38" s="38">
        <f>((expenses!$D$14/12)*1.05)*1.05</f>
        <v>91.875</v>
      </c>
      <c r="E38" s="38">
        <f>((expenses!$D$14/12)*1.05)*1.05</f>
        <v>91.875</v>
      </c>
      <c r="F38" s="38">
        <f>((expenses!$D$14/12)*1.05)*1.05</f>
        <v>91.875</v>
      </c>
      <c r="G38" s="38">
        <f>((expenses!$D$14/12)*1.05)*1.05</f>
        <v>91.875</v>
      </c>
      <c r="H38" s="38">
        <f>((expenses!$D$14/12)*1.05)*1.05</f>
        <v>91.875</v>
      </c>
      <c r="I38" s="38">
        <f>((expenses!$D$14/12)*1.05)*1.05</f>
        <v>91.875</v>
      </c>
      <c r="J38" s="38">
        <f>((expenses!$D$14/12)*1.05)*1.05</f>
        <v>91.875</v>
      </c>
      <c r="K38" s="38">
        <f>((expenses!$D$14/12)*1.05)*1.05</f>
        <v>91.875</v>
      </c>
      <c r="L38" s="38">
        <f>((expenses!$D$14/12)*1.05)*1.05</f>
        <v>91.875</v>
      </c>
      <c r="M38" s="38">
        <f>((expenses!$D$14/12)*1.05)*1.05</f>
        <v>91.875</v>
      </c>
      <c r="N38" s="38">
        <f>((expenses!$D$14/12)*1.05)*1.05</f>
        <v>91.875</v>
      </c>
      <c r="O38" s="39">
        <f t="shared" si="9"/>
        <v>1102.5</v>
      </c>
    </row>
    <row r="39" spans="1:17" ht="15.75">
      <c r="B39" s="11" t="s">
        <v>103</v>
      </c>
      <c r="C39" s="38">
        <f>((expenses!$D$12/12)*1.05)*1.05</f>
        <v>330.75</v>
      </c>
      <c r="D39" s="38">
        <f>((expenses!$D$12/12)*1.05)*1.05</f>
        <v>330.75</v>
      </c>
      <c r="E39" s="38">
        <f>((expenses!$D$12/12)*1.05)*1.05</f>
        <v>330.75</v>
      </c>
      <c r="F39" s="38">
        <f>((expenses!$D$12/12)*1.05)*1.05</f>
        <v>330.75</v>
      </c>
      <c r="G39" s="38">
        <f>((expenses!$D$12/12)*1.05)*1.05</f>
        <v>330.75</v>
      </c>
      <c r="H39" s="38">
        <f>((expenses!$D$12/12)*1.05)*1.05</f>
        <v>330.75</v>
      </c>
      <c r="I39" s="38">
        <f>((expenses!$D$12/12)*1.05)*1.05</f>
        <v>330.75</v>
      </c>
      <c r="J39" s="38">
        <f>((expenses!$D$12/12)*1.05)*1.05</f>
        <v>330.75</v>
      </c>
      <c r="K39" s="38">
        <f>((expenses!$D$12/12)*1.05)*1.05</f>
        <v>330.75</v>
      </c>
      <c r="L39" s="38">
        <f>((expenses!$D$12/12)*1.05)*1.05</f>
        <v>330.75</v>
      </c>
      <c r="M39" s="38">
        <f>((expenses!$D$12/12)*1.05)*1.05</f>
        <v>330.75</v>
      </c>
      <c r="N39" s="38">
        <f>((expenses!$D$12/12)*1.05)*1.05</f>
        <v>330.75</v>
      </c>
      <c r="O39" s="39">
        <f t="shared" si="9"/>
        <v>3969</v>
      </c>
    </row>
    <row r="40" spans="1:17" ht="15.75">
      <c r="B40" s="11" t="s">
        <v>14</v>
      </c>
      <c r="C40" s="38">
        <f>('Cash Flow Y3 Jan to Dec 2028'!C40)*1.05</f>
        <v>275.625</v>
      </c>
      <c r="D40" s="38">
        <f>('Cash Flow Y3 Jan to Dec 2028'!D40)*1.05</f>
        <v>275.625</v>
      </c>
      <c r="E40" s="38">
        <f>('Cash Flow Y3 Jan to Dec 2028'!E40)*1.05</f>
        <v>275.625</v>
      </c>
      <c r="F40" s="38">
        <f>('Cash Flow Y3 Jan to Dec 2028'!F40)*1.05</f>
        <v>275.625</v>
      </c>
      <c r="G40" s="38">
        <f>('Cash Flow Y3 Jan to Dec 2028'!G40)*1.05</f>
        <v>275.625</v>
      </c>
      <c r="H40" s="38">
        <f>('Cash Flow Y3 Jan to Dec 2028'!H40)*1.05</f>
        <v>275.625</v>
      </c>
      <c r="I40" s="38">
        <f>('Cash Flow Y3 Jan to Dec 2028'!I40)*1.05</f>
        <v>275.625</v>
      </c>
      <c r="J40" s="38">
        <f>('Cash Flow Y3 Jan to Dec 2028'!J40)*1.05</f>
        <v>275.625</v>
      </c>
      <c r="K40" s="38">
        <f>('Cash Flow Y3 Jan to Dec 2028'!K40)*1.05</f>
        <v>275.625</v>
      </c>
      <c r="L40" s="38">
        <f>('Cash Flow Y3 Jan to Dec 2028'!L40)*1.05</f>
        <v>275.625</v>
      </c>
      <c r="M40" s="38">
        <f>('Cash Flow Y3 Jan to Dec 2028'!M40)*1.05</f>
        <v>275.625</v>
      </c>
      <c r="N40" s="38">
        <f>('Cash Flow Y3 Jan to Dec 2028'!N40)*1.05</f>
        <v>275.625</v>
      </c>
      <c r="O40" s="39">
        <f t="shared" si="9"/>
        <v>3307.5</v>
      </c>
    </row>
    <row r="41" spans="1:17" ht="15.75">
      <c r="B41" s="11" t="s">
        <v>18</v>
      </c>
      <c r="C41" s="38">
        <f>((expenses!$D$15/12)*1.05)*1.05</f>
        <v>55.125</v>
      </c>
      <c r="D41" s="38">
        <f>((expenses!$D$15/12)*1.05)*1.05</f>
        <v>55.125</v>
      </c>
      <c r="E41" s="38">
        <f>((expenses!$D$15/12)*1.05)*1.05</f>
        <v>55.125</v>
      </c>
      <c r="F41" s="38">
        <f>((expenses!$D$15/12)*1.05)*1.05</f>
        <v>55.125</v>
      </c>
      <c r="G41" s="38">
        <f>((expenses!$D$15/12)*1.05)*1.05</f>
        <v>55.125</v>
      </c>
      <c r="H41" s="38">
        <f>((expenses!$D$15/12)*1.05)*1.05</f>
        <v>55.125</v>
      </c>
      <c r="I41" s="38">
        <f>((expenses!$D$15/12)*1.05)*1.05</f>
        <v>55.125</v>
      </c>
      <c r="J41" s="38">
        <f>((expenses!$D$15/12)*1.05)*1.05</f>
        <v>55.125</v>
      </c>
      <c r="K41" s="38">
        <f>((expenses!$D$15/12)*1.05)*1.05</f>
        <v>55.125</v>
      </c>
      <c r="L41" s="38">
        <f>((expenses!$D$15/12)*1.05)*1.05</f>
        <v>55.125</v>
      </c>
      <c r="M41" s="38">
        <f>((expenses!$D$15/12)*1.05)*1.05</f>
        <v>55.125</v>
      </c>
      <c r="N41" s="38">
        <f>((expenses!$D$15/12)*1.05)*1.05</f>
        <v>55.125</v>
      </c>
      <c r="O41" s="39">
        <f t="shared" si="9"/>
        <v>661.5</v>
      </c>
    </row>
    <row r="42" spans="1:17" ht="15.75">
      <c r="B42" s="11" t="s">
        <v>104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9">
        <f t="shared" si="9"/>
        <v>0</v>
      </c>
    </row>
    <row r="43" spans="1:17" ht="15.75">
      <c r="B43" s="11" t="s">
        <v>105</v>
      </c>
      <c r="C43" s="38">
        <f>20*1.05</f>
        <v>21</v>
      </c>
      <c r="D43" s="38">
        <f t="shared" ref="D43:N43" si="12">20*1.05</f>
        <v>21</v>
      </c>
      <c r="E43" s="38">
        <f t="shared" si="12"/>
        <v>21</v>
      </c>
      <c r="F43" s="38">
        <f t="shared" si="12"/>
        <v>21</v>
      </c>
      <c r="G43" s="38">
        <f t="shared" si="12"/>
        <v>21</v>
      </c>
      <c r="H43" s="38">
        <f t="shared" si="12"/>
        <v>21</v>
      </c>
      <c r="I43" s="38">
        <f t="shared" si="12"/>
        <v>21</v>
      </c>
      <c r="J43" s="38">
        <f t="shared" si="12"/>
        <v>21</v>
      </c>
      <c r="K43" s="38">
        <f t="shared" si="12"/>
        <v>21</v>
      </c>
      <c r="L43" s="38">
        <f t="shared" si="12"/>
        <v>21</v>
      </c>
      <c r="M43" s="38">
        <f t="shared" si="12"/>
        <v>21</v>
      </c>
      <c r="N43" s="38">
        <f t="shared" si="12"/>
        <v>21</v>
      </c>
      <c r="O43" s="39">
        <f t="shared" si="9"/>
        <v>252</v>
      </c>
    </row>
    <row r="44" spans="1:17" ht="15.75">
      <c r="B44" s="11" t="s">
        <v>106</v>
      </c>
      <c r="C44" s="38">
        <f>('Cash Flow Y3 Jan to Dec 2028'!C44)*1.05</f>
        <v>17.64</v>
      </c>
      <c r="D44" s="38">
        <f>('Cash Flow Y3 Jan to Dec 2028'!D44)*1.05</f>
        <v>17.64</v>
      </c>
      <c r="E44" s="38">
        <f>D44+20</f>
        <v>37.64</v>
      </c>
      <c r="F44" s="38">
        <f>('Cash Flow Y3 Jan to Dec 2028'!F44)*1.05</f>
        <v>17.64</v>
      </c>
      <c r="G44" s="38">
        <f>('Cash Flow Y3 Jan to Dec 2028'!G44)*1.05</f>
        <v>17.64</v>
      </c>
      <c r="H44" s="38">
        <f>('Cash Flow Y3 Jan to Dec 2028'!H44)*1.05</f>
        <v>17.64</v>
      </c>
      <c r="I44" s="38">
        <f>('Cash Flow Y3 Jan to Dec 2028'!I44)*1.05</f>
        <v>17.64</v>
      </c>
      <c r="J44" s="38">
        <f>('Cash Flow Y3 Jan to Dec 2028'!J44)*1.05</f>
        <v>17.64</v>
      </c>
      <c r="K44" s="38">
        <f>('Cash Flow Y3 Jan to Dec 2028'!K44)*1.05</f>
        <v>17.64</v>
      </c>
      <c r="L44" s="38">
        <f>('Cash Flow Y3 Jan to Dec 2028'!L44)*1.05</f>
        <v>17.64</v>
      </c>
      <c r="M44" s="38">
        <f>('Cash Flow Y3 Jan to Dec 2028'!M44)*1.05</f>
        <v>17.64</v>
      </c>
      <c r="N44" s="38">
        <f>('Cash Flow Y3 Jan to Dec 2028'!N44)*1.05</f>
        <v>17.64</v>
      </c>
      <c r="O44" s="39">
        <f t="shared" si="9"/>
        <v>231.67999999999995</v>
      </c>
    </row>
    <row r="45" spans="1:17" ht="15.75">
      <c r="B45" s="11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9"/>
    </row>
    <row r="46" spans="1:17" ht="16.5" thickBot="1">
      <c r="B46" s="53" t="s">
        <v>107</v>
      </c>
      <c r="C46" s="54">
        <f t="shared" ref="C46:O46" si="13">SUM(C28:C45)</f>
        <v>3579.3845833333335</v>
      </c>
      <c r="D46" s="54">
        <f t="shared" si="13"/>
        <v>3579.3845833333335</v>
      </c>
      <c r="E46" s="54">
        <f t="shared" si="13"/>
        <v>3599.3845833333335</v>
      </c>
      <c r="F46" s="54">
        <f t="shared" si="13"/>
        <v>3579.3845833333335</v>
      </c>
      <c r="G46" s="54">
        <f t="shared" si="13"/>
        <v>3579.3845833333335</v>
      </c>
      <c r="H46" s="54">
        <f t="shared" si="13"/>
        <v>3579.3845833333335</v>
      </c>
      <c r="I46" s="54">
        <f t="shared" si="13"/>
        <v>3579.3845833333335</v>
      </c>
      <c r="J46" s="54">
        <f t="shared" si="13"/>
        <v>3579.3845833333335</v>
      </c>
      <c r="K46" s="54">
        <f t="shared" si="13"/>
        <v>3579.3845833333335</v>
      </c>
      <c r="L46" s="54">
        <f t="shared" si="13"/>
        <v>3579.3845833333335</v>
      </c>
      <c r="M46" s="54">
        <f t="shared" si="13"/>
        <v>3579.3845833333335</v>
      </c>
      <c r="N46" s="54">
        <f t="shared" si="13"/>
        <v>3579.3845833333335</v>
      </c>
      <c r="O46" s="54">
        <f t="shared" si="13"/>
        <v>42972.615000000005</v>
      </c>
      <c r="Q46" s="20"/>
    </row>
    <row r="47" spans="1:17" ht="16.5" thickTop="1">
      <c r="B47" s="11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</row>
    <row r="48" spans="1:17" s="17" customFormat="1" ht="16.5" thickBot="1">
      <c r="A48" s="9" t="s">
        <v>108</v>
      </c>
      <c r="B48" s="55" t="s">
        <v>109</v>
      </c>
      <c r="C48" s="56">
        <f t="shared" ref="C48:N48" si="14">SUM(C18-C46)</f>
        <v>2079.0864166666661</v>
      </c>
      <c r="D48" s="56">
        <f t="shared" si="14"/>
        <v>2079.0864166666661</v>
      </c>
      <c r="E48" s="56">
        <f t="shared" si="14"/>
        <v>2059.0864166666661</v>
      </c>
      <c r="F48" s="56">
        <f t="shared" si="14"/>
        <v>3493.7041666666673</v>
      </c>
      <c r="G48" s="56">
        <f t="shared" si="14"/>
        <v>2079.0864166666661</v>
      </c>
      <c r="H48" s="56">
        <f t="shared" si="14"/>
        <v>2079.0864166666661</v>
      </c>
      <c r="I48" s="56">
        <f t="shared" si="14"/>
        <v>664.46866666666665</v>
      </c>
      <c r="J48" s="56">
        <f t="shared" si="14"/>
        <v>2079.0864166666661</v>
      </c>
      <c r="K48" s="56">
        <f t="shared" si="14"/>
        <v>2079.0864166666661</v>
      </c>
      <c r="L48" s="56">
        <f t="shared" si="14"/>
        <v>3493.7041666666673</v>
      </c>
      <c r="M48" s="56">
        <f t="shared" si="14"/>
        <v>2079.0864166666661</v>
      </c>
      <c r="N48" s="56">
        <f t="shared" si="14"/>
        <v>664.46866666666665</v>
      </c>
      <c r="O48" s="56">
        <f>O26-O46</f>
        <v>36479.036999999997</v>
      </c>
    </row>
    <row r="49" spans="1:15" ht="15.75">
      <c r="B49" s="1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</row>
    <row r="50" spans="1:15" ht="15.75">
      <c r="A50" s="9" t="s">
        <v>60</v>
      </c>
      <c r="B50" s="75" t="s">
        <v>110</v>
      </c>
      <c r="C50" s="76">
        <f>C18-C46</f>
        <v>2079.0864166666661</v>
      </c>
      <c r="D50" s="76">
        <f t="shared" ref="D50:O50" si="15">D18-D46</f>
        <v>2079.0864166666661</v>
      </c>
      <c r="E50" s="76">
        <f t="shared" si="15"/>
        <v>2059.0864166666661</v>
      </c>
      <c r="F50" s="76">
        <f t="shared" si="15"/>
        <v>3493.7041666666673</v>
      </c>
      <c r="G50" s="76">
        <f t="shared" si="15"/>
        <v>2079.0864166666661</v>
      </c>
      <c r="H50" s="76">
        <f t="shared" si="15"/>
        <v>2079.0864166666661</v>
      </c>
      <c r="I50" s="76">
        <f t="shared" si="15"/>
        <v>664.46866666666665</v>
      </c>
      <c r="J50" s="76">
        <f t="shared" si="15"/>
        <v>2079.0864166666661</v>
      </c>
      <c r="K50" s="76">
        <f t="shared" si="15"/>
        <v>2079.0864166666661</v>
      </c>
      <c r="L50" s="76">
        <f t="shared" si="15"/>
        <v>3493.7041666666673</v>
      </c>
      <c r="M50" s="76">
        <f t="shared" si="15"/>
        <v>2079.0864166666661</v>
      </c>
      <c r="N50" s="76">
        <f t="shared" si="15"/>
        <v>664.46866666666665</v>
      </c>
      <c r="O50" s="77">
        <f t="shared" si="15"/>
        <v>24929.036999999997</v>
      </c>
    </row>
    <row r="51" spans="1:15" ht="15.75">
      <c r="B51" s="58" t="s">
        <v>111</v>
      </c>
      <c r="C51" s="59">
        <f t="shared" ref="C51:O51" si="16">C26-C46</f>
        <v>3041.5864166666661</v>
      </c>
      <c r="D51" s="59">
        <f t="shared" si="16"/>
        <v>3041.5864166666661</v>
      </c>
      <c r="E51" s="59">
        <f t="shared" si="16"/>
        <v>3021.5864166666661</v>
      </c>
      <c r="F51" s="59">
        <f t="shared" si="16"/>
        <v>4456.2041666666673</v>
      </c>
      <c r="G51" s="59">
        <f t="shared" si="16"/>
        <v>3041.5864166666661</v>
      </c>
      <c r="H51" s="59">
        <f t="shared" si="16"/>
        <v>3041.5864166666661</v>
      </c>
      <c r="I51" s="59">
        <f t="shared" si="16"/>
        <v>1626.9686666666666</v>
      </c>
      <c r="J51" s="59">
        <f t="shared" si="16"/>
        <v>3041.5864166666661</v>
      </c>
      <c r="K51" s="59">
        <f t="shared" si="16"/>
        <v>3041.5864166666661</v>
      </c>
      <c r="L51" s="59">
        <f t="shared" si="16"/>
        <v>4456.2041666666673</v>
      </c>
      <c r="M51" s="59">
        <f t="shared" si="16"/>
        <v>3041.5864166666661</v>
      </c>
      <c r="N51" s="59">
        <f t="shared" si="16"/>
        <v>1626.9686666666666</v>
      </c>
      <c r="O51" s="60">
        <f t="shared" si="16"/>
        <v>36479.036999999997</v>
      </c>
    </row>
    <row r="52" spans="1:15" ht="15.75">
      <c r="B52" s="11"/>
    </row>
    <row r="53" spans="1:15" ht="15.75">
      <c r="B53" s="11"/>
    </row>
    <row r="54" spans="1:15" ht="15.75">
      <c r="B54" s="11"/>
    </row>
    <row r="55" spans="1:15" ht="15.75">
      <c r="B55" s="11"/>
    </row>
    <row r="56" spans="1:15" ht="15.75">
      <c r="B56" s="11"/>
    </row>
    <row r="57" spans="1:15" ht="15.75">
      <c r="B57" s="11"/>
    </row>
    <row r="58" spans="1:15" ht="15.75">
      <c r="B58" s="11"/>
    </row>
    <row r="59" spans="1:15" ht="15.75">
      <c r="B59" s="11"/>
    </row>
    <row r="60" spans="1:15" ht="15.75">
      <c r="B60" s="11"/>
    </row>
    <row r="61" spans="1:15" ht="15.75">
      <c r="B61" s="11"/>
    </row>
    <row r="62" spans="1:15" ht="15.75">
      <c r="B62" s="11"/>
    </row>
    <row r="63" spans="1:15" ht="15.75">
      <c r="B63" s="11"/>
    </row>
    <row r="64" spans="1:15" ht="15.75">
      <c r="B64" s="11"/>
    </row>
    <row r="65" spans="2:2" ht="15.75">
      <c r="B65" s="11"/>
    </row>
    <row r="66" spans="2:2" ht="15.75">
      <c r="B66" s="11"/>
    </row>
    <row r="67" spans="2:2" ht="15.75">
      <c r="B67" s="11"/>
    </row>
    <row r="68" spans="2:2" ht="15.75">
      <c r="B68" s="11"/>
    </row>
    <row r="69" spans="2:2" ht="15.75">
      <c r="B69" s="11"/>
    </row>
    <row r="70" spans="2:2" ht="15.75">
      <c r="B70" s="11"/>
    </row>
    <row r="71" spans="2:2" ht="15.75">
      <c r="B71" s="11"/>
    </row>
    <row r="72" spans="2:2" ht="15.75">
      <c r="B72" s="11"/>
    </row>
    <row r="73" spans="2:2" ht="15.75">
      <c r="B73" s="11"/>
    </row>
    <row r="74" spans="2:2" ht="15.75">
      <c r="B74" s="11"/>
    </row>
    <row r="75" spans="2:2" ht="15.75">
      <c r="B75" s="11"/>
    </row>
    <row r="76" spans="2:2" ht="15.75">
      <c r="B76" s="11"/>
    </row>
    <row r="77" spans="2:2" ht="15.75">
      <c r="B77" s="11"/>
    </row>
    <row r="78" spans="2:2" ht="15.75">
      <c r="B78" s="11"/>
    </row>
    <row r="79" spans="2:2" ht="15.75">
      <c r="B79" s="11"/>
    </row>
    <row r="80" spans="2:2" ht="15.75">
      <c r="B80" s="11"/>
    </row>
    <row r="81" spans="2:2" ht="15.75">
      <c r="B81" s="11"/>
    </row>
    <row r="82" spans="2:2" ht="15.75">
      <c r="B82" s="11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566e6bd1-fdf1-4e67-aa4a-dc53a1cbdf1b" xsi:nil="true"/>
    <lcf76f155ced4ddcb4097134ff3c332f xmlns="566e6bd1-fdf1-4e67-aa4a-dc53a1cbdf1b">
      <Terms xmlns="http://schemas.microsoft.com/office/infopath/2007/PartnerControls"/>
    </lcf76f155ced4ddcb4097134ff3c332f>
    <TaxCatchAll xmlns="c6f89cf3-15f3-49a9-b525-a53d25d9bc3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AF11E08B6B04409A2A1F1EA44D57A1" ma:contentTypeVersion="25" ma:contentTypeDescription="Create a new document." ma:contentTypeScope="" ma:versionID="ff8998e4b0e0bc877c20e2f001d304e7">
  <xsd:schema xmlns:xsd="http://www.w3.org/2001/XMLSchema" xmlns:xs="http://www.w3.org/2001/XMLSchema" xmlns:p="http://schemas.microsoft.com/office/2006/metadata/properties" xmlns:ns2="566e6bd1-fdf1-4e67-aa4a-dc53a1cbdf1b" xmlns:ns3="c6f89cf3-15f3-49a9-b525-a53d25d9bc33" targetNamespace="http://schemas.microsoft.com/office/2006/metadata/properties" ma:root="true" ma:fieldsID="ec9f04bb36f2e96246d41655715514b5" ns2:_="" ns3:_="">
    <xsd:import namespace="566e6bd1-fdf1-4e67-aa4a-dc53a1cbdf1b"/>
    <xsd:import namespace="c6f89cf3-15f3-49a9-b525-a53d25d9bc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TaxCatchAll" minOccurs="0"/>
                <xsd:element ref="ns2:lcf76f155ced4ddcb4097134ff3c332f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Dat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6e6bd1-fdf1-4e67-aa4a-dc53a1cbdf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d98cd927-8f6a-46d3-90eb-de291826a4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ate" ma:index="24" nillable="true" ma:displayName="Date" ma:format="DateOnly" ma:internalName="Date">
      <xsd:simpleType>
        <xsd:restriction base="dms:DateTim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f89cf3-15f3-49a9-b525-a53d25d9bc33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96e86de-30b4-458b-8f33-d44261b16f2f}" ma:internalName="TaxCatchAll" ma:showField="CatchAllData" ma:web="c6f89cf3-15f3-49a9-b525-a53d25d9bc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0D99C3-D09B-4FE6-98A1-D35AD1FF52D6}"/>
</file>

<file path=customXml/itemProps2.xml><?xml version="1.0" encoding="utf-8"?>
<ds:datastoreItem xmlns:ds="http://schemas.openxmlformats.org/officeDocument/2006/customXml" ds:itemID="{7F20D741-1335-4BA2-80AA-87D8430AEA6A}"/>
</file>

<file path=customXml/itemProps3.xml><?xml version="1.0" encoding="utf-8"?>
<ds:datastoreItem xmlns:ds="http://schemas.openxmlformats.org/officeDocument/2006/customXml" ds:itemID="{45686FF6-EFC7-4E30-A279-366FF2E5CE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lindsay</dc:creator>
  <cp:keywords/>
  <dc:description/>
  <cp:lastModifiedBy>Lindsay Green</cp:lastModifiedBy>
  <cp:revision/>
  <dcterms:created xsi:type="dcterms:W3CDTF">2024-09-19T09:43:49Z</dcterms:created>
  <dcterms:modified xsi:type="dcterms:W3CDTF">2025-06-26T19:02:42Z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0x010100E6AF11E08B6B04409A2A1F1EA44D57A1</vt:lpwstr>
  </property>
  <property fmtid="{D5CDD505-2E9C-101B-9397-08002B2CF9AE}" pid="3" name="MediaServiceImageTags">
    <vt:lpwstr/>
  </property>
</Properties>
</file>