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esktop\Community Asset Transfer\"/>
    </mc:Choice>
  </mc:AlternateContent>
  <bookViews>
    <workbookView xWindow="0" yWindow="0" windowWidth="20490" windowHeight="7155"/>
  </bookViews>
  <sheets>
    <sheet name="Summary" sheetId="13" r:id="rId1"/>
    <sheet name="Sample schedule" sheetId="1" r:id="rId2"/>
    <sheet name="Other income" sheetId="5" r:id="rId3"/>
    <sheet name="Staffing" sheetId="6" r:id="rId4"/>
    <sheet name="Grants" sheetId="4" r:id="rId5"/>
    <sheet name="Equipment costs" sheetId="7" r:id="rId6"/>
    <sheet name="Expenses" sheetId="2" r:id="rId7"/>
    <sheet name="Cash flow Y1" sheetId="3" r:id="rId8"/>
    <sheet name="Cash flow Y2" sheetId="8" r:id="rId9"/>
    <sheet name="Cash flow Y3" sheetId="10" r:id="rId10"/>
    <sheet name="Cash flow Y4" sheetId="11" r:id="rId11"/>
    <sheet name="Cash flow Y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2" l="1"/>
  <c r="L2" i="12"/>
  <c r="K2" i="12"/>
  <c r="J2" i="12"/>
  <c r="I2" i="12"/>
  <c r="H2" i="12"/>
  <c r="G2" i="12"/>
  <c r="F2" i="12"/>
  <c r="E2" i="12"/>
  <c r="D2" i="12"/>
  <c r="C2" i="12"/>
  <c r="B2" i="12"/>
  <c r="M2" i="11"/>
  <c r="L2" i="11"/>
  <c r="K2" i="11"/>
  <c r="J2" i="11"/>
  <c r="I2" i="11"/>
  <c r="H2" i="11"/>
  <c r="G2" i="11"/>
  <c r="F2" i="11"/>
  <c r="E2" i="11"/>
  <c r="D2" i="11"/>
  <c r="C2" i="11"/>
  <c r="B2" i="11"/>
  <c r="M2" i="10"/>
  <c r="L2" i="10"/>
  <c r="K2" i="10"/>
  <c r="J2" i="10"/>
  <c r="I2" i="10"/>
  <c r="H2" i="10"/>
  <c r="G2" i="10"/>
  <c r="F2" i="10"/>
  <c r="E2" i="10"/>
  <c r="D2" i="10"/>
  <c r="C2" i="10"/>
  <c r="B2" i="10"/>
  <c r="M6" i="8"/>
  <c r="L6" i="8"/>
  <c r="K6" i="8"/>
  <c r="J6" i="8"/>
  <c r="I6" i="8"/>
  <c r="H6" i="8"/>
  <c r="G6" i="8"/>
  <c r="F6" i="8"/>
  <c r="E6" i="8"/>
  <c r="D6" i="8"/>
  <c r="C6" i="8"/>
  <c r="B6" i="8"/>
  <c r="B9" i="13"/>
  <c r="F7" i="13"/>
  <c r="E7" i="13"/>
  <c r="D7" i="13"/>
  <c r="C7" i="13"/>
  <c r="B7" i="13"/>
  <c r="F3" i="13"/>
  <c r="E3" i="13"/>
  <c r="D3" i="13"/>
  <c r="C3" i="13"/>
  <c r="B3" i="13"/>
  <c r="B2" i="13" l="1"/>
  <c r="B5" i="13"/>
  <c r="M23" i="12"/>
  <c r="L23" i="12"/>
  <c r="K23" i="12"/>
  <c r="J23" i="12"/>
  <c r="I23" i="12"/>
  <c r="H23" i="12"/>
  <c r="G23" i="12"/>
  <c r="F23" i="12"/>
  <c r="E23" i="12"/>
  <c r="D23" i="12"/>
  <c r="M24" i="12"/>
  <c r="L24" i="12"/>
  <c r="K24" i="12"/>
  <c r="J24" i="12"/>
  <c r="I24" i="12"/>
  <c r="H24" i="12"/>
  <c r="G24" i="12"/>
  <c r="F24" i="12"/>
  <c r="E24" i="12"/>
  <c r="D24" i="12"/>
  <c r="C24" i="12"/>
  <c r="M30" i="12"/>
  <c r="L30" i="12"/>
  <c r="K30" i="12"/>
  <c r="J30" i="12"/>
  <c r="I30" i="12"/>
  <c r="H30" i="12"/>
  <c r="G30" i="12"/>
  <c r="F30" i="12"/>
  <c r="E30" i="12"/>
  <c r="D30" i="12"/>
  <c r="C30" i="12"/>
  <c r="M29" i="12"/>
  <c r="L29" i="12"/>
  <c r="K29" i="12"/>
  <c r="J29" i="12"/>
  <c r="I29" i="12"/>
  <c r="H29" i="12"/>
  <c r="N29" i="12" s="1"/>
  <c r="G29" i="12"/>
  <c r="F29" i="12"/>
  <c r="E29" i="12"/>
  <c r="D29" i="12"/>
  <c r="C29" i="12"/>
  <c r="C23" i="12"/>
  <c r="M22" i="12"/>
  <c r="L22" i="12"/>
  <c r="K22" i="12"/>
  <c r="J22" i="12"/>
  <c r="I22" i="12"/>
  <c r="H22" i="12"/>
  <c r="G22" i="12"/>
  <c r="F22" i="12"/>
  <c r="E22" i="12"/>
  <c r="D22" i="12"/>
  <c r="C22" i="12"/>
  <c r="M21" i="12"/>
  <c r="L21" i="12"/>
  <c r="K21" i="12"/>
  <c r="J21" i="12"/>
  <c r="I21" i="12"/>
  <c r="H21" i="12"/>
  <c r="G21" i="12"/>
  <c r="F21" i="12"/>
  <c r="E21" i="12"/>
  <c r="D21" i="12"/>
  <c r="M20" i="12"/>
  <c r="L20" i="12"/>
  <c r="K20" i="12"/>
  <c r="J20" i="12"/>
  <c r="I20" i="12"/>
  <c r="H20" i="12"/>
  <c r="G20" i="12"/>
  <c r="F20" i="12"/>
  <c r="E20" i="12"/>
  <c r="D20" i="12"/>
  <c r="C20" i="12"/>
  <c r="C21" i="12"/>
  <c r="M19" i="12"/>
  <c r="L19" i="12"/>
  <c r="K19" i="12"/>
  <c r="J19" i="12"/>
  <c r="I19" i="12"/>
  <c r="H19" i="12"/>
  <c r="G19" i="12"/>
  <c r="F19" i="12"/>
  <c r="E19" i="12"/>
  <c r="D19" i="12"/>
  <c r="C19" i="12"/>
  <c r="M18" i="12"/>
  <c r="L18" i="12"/>
  <c r="K18" i="12"/>
  <c r="J18" i="12"/>
  <c r="I18" i="12"/>
  <c r="H18" i="12"/>
  <c r="G18" i="12"/>
  <c r="F18" i="12"/>
  <c r="E18" i="12"/>
  <c r="D18" i="12"/>
  <c r="C18" i="12"/>
  <c r="M17" i="12"/>
  <c r="L17" i="12"/>
  <c r="K17" i="12"/>
  <c r="J17" i="12"/>
  <c r="I17" i="12"/>
  <c r="H17" i="12"/>
  <c r="G17" i="12"/>
  <c r="F17" i="12"/>
  <c r="E17" i="12"/>
  <c r="D17" i="12"/>
  <c r="C17" i="12"/>
  <c r="B30" i="12"/>
  <c r="B29" i="12"/>
  <c r="B28" i="12"/>
  <c r="N28" i="12" s="1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M28" i="12"/>
  <c r="L28" i="12"/>
  <c r="K28" i="12"/>
  <c r="J28" i="12"/>
  <c r="I28" i="12"/>
  <c r="H28" i="12"/>
  <c r="G28" i="12"/>
  <c r="F28" i="12"/>
  <c r="E28" i="12"/>
  <c r="D28" i="12"/>
  <c r="C28" i="12"/>
  <c r="M27" i="12"/>
  <c r="L27" i="12"/>
  <c r="K27" i="12"/>
  <c r="J27" i="12"/>
  <c r="I27" i="12"/>
  <c r="H27" i="12"/>
  <c r="G27" i="12"/>
  <c r="F27" i="12"/>
  <c r="E27" i="12"/>
  <c r="D27" i="12"/>
  <c r="C27" i="12"/>
  <c r="N27" i="12"/>
  <c r="M26" i="12"/>
  <c r="L26" i="12"/>
  <c r="K26" i="12"/>
  <c r="J26" i="12"/>
  <c r="I26" i="12"/>
  <c r="H26" i="12"/>
  <c r="G26" i="12"/>
  <c r="F26" i="12"/>
  <c r="E26" i="12"/>
  <c r="D26" i="12"/>
  <c r="C26" i="12"/>
  <c r="N26" i="12"/>
  <c r="M25" i="12"/>
  <c r="L25" i="12"/>
  <c r="K25" i="12"/>
  <c r="J25" i="12"/>
  <c r="I25" i="12"/>
  <c r="H25" i="12"/>
  <c r="G25" i="12"/>
  <c r="F25" i="12"/>
  <c r="E25" i="12"/>
  <c r="D25" i="12"/>
  <c r="C25" i="12"/>
  <c r="N25" i="12"/>
  <c r="N24" i="12"/>
  <c r="N23" i="12"/>
  <c r="N21" i="12"/>
  <c r="N19" i="12"/>
  <c r="N17" i="12"/>
  <c r="C16" i="12"/>
  <c r="D16" i="12" s="1"/>
  <c r="E16" i="12" s="1"/>
  <c r="F16" i="12" s="1"/>
  <c r="G16" i="12" s="1"/>
  <c r="H16" i="12" s="1"/>
  <c r="I16" i="12" s="1"/>
  <c r="J16" i="12" s="1"/>
  <c r="K16" i="12" s="1"/>
  <c r="L16" i="12" s="1"/>
  <c r="M16" i="12" s="1"/>
  <c r="C15" i="12"/>
  <c r="C32" i="12" s="1"/>
  <c r="M9" i="12"/>
  <c r="L9" i="12"/>
  <c r="K9" i="12"/>
  <c r="J9" i="12"/>
  <c r="I9" i="12"/>
  <c r="H9" i="12"/>
  <c r="G9" i="12"/>
  <c r="F9" i="12"/>
  <c r="E9" i="12"/>
  <c r="D9" i="12"/>
  <c r="C9" i="12"/>
  <c r="B9" i="12"/>
  <c r="N9" i="12" s="1"/>
  <c r="M8" i="12"/>
  <c r="L8" i="12"/>
  <c r="K8" i="12"/>
  <c r="J8" i="12"/>
  <c r="I8" i="12"/>
  <c r="H8" i="12"/>
  <c r="G8" i="12"/>
  <c r="F8" i="12"/>
  <c r="E8" i="12"/>
  <c r="D8" i="12"/>
  <c r="C8" i="12"/>
  <c r="B8" i="12"/>
  <c r="N8" i="12" s="1"/>
  <c r="N7" i="12"/>
  <c r="M6" i="12"/>
  <c r="L6" i="12"/>
  <c r="K6" i="12"/>
  <c r="J6" i="12"/>
  <c r="I6" i="12"/>
  <c r="H6" i="12"/>
  <c r="G6" i="12"/>
  <c r="F6" i="12"/>
  <c r="E6" i="12"/>
  <c r="D6" i="12"/>
  <c r="C6" i="12"/>
  <c r="B6" i="12"/>
  <c r="N6" i="12" s="1"/>
  <c r="M5" i="12"/>
  <c r="M11" i="12" s="1"/>
  <c r="L5" i="12"/>
  <c r="L11" i="12" s="1"/>
  <c r="K5" i="12"/>
  <c r="K11" i="12" s="1"/>
  <c r="J5" i="12"/>
  <c r="J11" i="12" s="1"/>
  <c r="I5" i="12"/>
  <c r="I11" i="12" s="1"/>
  <c r="H5" i="12"/>
  <c r="H11" i="12" s="1"/>
  <c r="G5" i="12"/>
  <c r="G11" i="12" s="1"/>
  <c r="F5" i="12"/>
  <c r="F11" i="12" s="1"/>
  <c r="E5" i="12"/>
  <c r="E11" i="12" s="1"/>
  <c r="D5" i="12"/>
  <c r="D11" i="12" s="1"/>
  <c r="C5" i="12"/>
  <c r="C11" i="12" s="1"/>
  <c r="B5" i="12"/>
  <c r="M29" i="11"/>
  <c r="L29" i="11"/>
  <c r="K29" i="11"/>
  <c r="J29" i="11"/>
  <c r="I29" i="11"/>
  <c r="H29" i="11"/>
  <c r="G29" i="11"/>
  <c r="F29" i="11"/>
  <c r="E29" i="11"/>
  <c r="D29" i="11"/>
  <c r="C29" i="11"/>
  <c r="B30" i="11"/>
  <c r="N30" i="11" s="1"/>
  <c r="B29" i="11"/>
  <c r="B28" i="11"/>
  <c r="N28" i="11" s="1"/>
  <c r="B27" i="11"/>
  <c r="B26" i="11"/>
  <c r="B25" i="11"/>
  <c r="B24" i="11"/>
  <c r="B23" i="11"/>
  <c r="B22" i="11"/>
  <c r="N22" i="11" s="1"/>
  <c r="B21" i="11"/>
  <c r="N21" i="11" s="1"/>
  <c r="B20" i="11"/>
  <c r="B19" i="11"/>
  <c r="B18" i="11"/>
  <c r="B17" i="11"/>
  <c r="B16" i="11"/>
  <c r="B15" i="11"/>
  <c r="M30" i="11"/>
  <c r="L30" i="11"/>
  <c r="K30" i="11"/>
  <c r="J30" i="11"/>
  <c r="I30" i="11"/>
  <c r="H30" i="11"/>
  <c r="G30" i="11"/>
  <c r="F30" i="11"/>
  <c r="E30" i="11"/>
  <c r="D30" i="11"/>
  <c r="C30" i="11"/>
  <c r="M28" i="11"/>
  <c r="L28" i="11"/>
  <c r="K28" i="11"/>
  <c r="J28" i="11"/>
  <c r="I28" i="11"/>
  <c r="H28" i="11"/>
  <c r="G28" i="11"/>
  <c r="F28" i="11"/>
  <c r="E28" i="11"/>
  <c r="D28" i="11"/>
  <c r="C28" i="11"/>
  <c r="M27" i="11"/>
  <c r="L27" i="11"/>
  <c r="K27" i="11"/>
  <c r="J27" i="11"/>
  <c r="I27" i="11"/>
  <c r="H27" i="11"/>
  <c r="G27" i="11"/>
  <c r="F27" i="11"/>
  <c r="E27" i="11"/>
  <c r="D27" i="11"/>
  <c r="C27" i="11"/>
  <c r="N27" i="11"/>
  <c r="M26" i="11"/>
  <c r="L26" i="11"/>
  <c r="K26" i="11"/>
  <c r="J26" i="11"/>
  <c r="I26" i="11"/>
  <c r="H26" i="11"/>
  <c r="G26" i="11"/>
  <c r="F26" i="11"/>
  <c r="E26" i="11"/>
  <c r="D26" i="11"/>
  <c r="C26" i="11"/>
  <c r="N26" i="11"/>
  <c r="M25" i="11"/>
  <c r="L25" i="11"/>
  <c r="K25" i="11"/>
  <c r="J25" i="11"/>
  <c r="I25" i="11"/>
  <c r="H25" i="11"/>
  <c r="G25" i="11"/>
  <c r="F25" i="11"/>
  <c r="E25" i="11"/>
  <c r="D25" i="11"/>
  <c r="C25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N24" i="11"/>
  <c r="M23" i="11"/>
  <c r="L23" i="11"/>
  <c r="K23" i="11"/>
  <c r="J23" i="11"/>
  <c r="I23" i="11"/>
  <c r="H23" i="11"/>
  <c r="G23" i="11"/>
  <c r="F23" i="11"/>
  <c r="E23" i="11"/>
  <c r="D23" i="11"/>
  <c r="C23" i="11"/>
  <c r="N23" i="11"/>
  <c r="M22" i="11"/>
  <c r="L22" i="11"/>
  <c r="K22" i="11"/>
  <c r="J22" i="11"/>
  <c r="I22" i="11"/>
  <c r="H22" i="11"/>
  <c r="G22" i="11"/>
  <c r="F22" i="11"/>
  <c r="E22" i="11"/>
  <c r="D22" i="11"/>
  <c r="C22" i="11"/>
  <c r="M21" i="11"/>
  <c r="L21" i="11"/>
  <c r="K21" i="11"/>
  <c r="J21" i="11"/>
  <c r="I21" i="11"/>
  <c r="H21" i="11"/>
  <c r="G21" i="11"/>
  <c r="F21" i="11"/>
  <c r="E21" i="11"/>
  <c r="D21" i="11"/>
  <c r="C21" i="11"/>
  <c r="M20" i="11"/>
  <c r="L20" i="11"/>
  <c r="K20" i="11"/>
  <c r="J20" i="11"/>
  <c r="I20" i="11"/>
  <c r="H20" i="11"/>
  <c r="G20" i="11"/>
  <c r="F20" i="11"/>
  <c r="E20" i="11"/>
  <c r="D20" i="11"/>
  <c r="C20" i="11"/>
  <c r="N20" i="11"/>
  <c r="M19" i="11"/>
  <c r="L19" i="11"/>
  <c r="K19" i="11"/>
  <c r="J19" i="11"/>
  <c r="I19" i="11"/>
  <c r="H19" i="11"/>
  <c r="G19" i="11"/>
  <c r="F19" i="11"/>
  <c r="E19" i="11"/>
  <c r="D19" i="11"/>
  <c r="C19" i="11"/>
  <c r="N19" i="11"/>
  <c r="M18" i="11"/>
  <c r="L18" i="11"/>
  <c r="K18" i="11"/>
  <c r="J18" i="11"/>
  <c r="I18" i="11"/>
  <c r="H18" i="11"/>
  <c r="G18" i="11"/>
  <c r="F18" i="11"/>
  <c r="E18" i="11"/>
  <c r="D18" i="11"/>
  <c r="C18" i="11"/>
  <c r="N18" i="11"/>
  <c r="M17" i="11"/>
  <c r="L17" i="11"/>
  <c r="K17" i="11"/>
  <c r="J17" i="11"/>
  <c r="I17" i="11"/>
  <c r="H17" i="11"/>
  <c r="G17" i="11"/>
  <c r="F17" i="11"/>
  <c r="E17" i="11"/>
  <c r="D17" i="11"/>
  <c r="C17" i="11"/>
  <c r="N17" i="11"/>
  <c r="C15" i="11"/>
  <c r="M9" i="11"/>
  <c r="L9" i="11"/>
  <c r="K9" i="11"/>
  <c r="J9" i="11"/>
  <c r="I9" i="11"/>
  <c r="H9" i="11"/>
  <c r="G9" i="11"/>
  <c r="F9" i="11"/>
  <c r="E9" i="11"/>
  <c r="D9" i="11"/>
  <c r="C9" i="11"/>
  <c r="B9" i="11"/>
  <c r="N9" i="11" s="1"/>
  <c r="M8" i="11"/>
  <c r="L8" i="11"/>
  <c r="K8" i="11"/>
  <c r="J8" i="11"/>
  <c r="I8" i="11"/>
  <c r="H8" i="11"/>
  <c r="G8" i="11"/>
  <c r="F8" i="11"/>
  <c r="E8" i="11"/>
  <c r="D8" i="11"/>
  <c r="C8" i="11"/>
  <c r="B8" i="11"/>
  <c r="N8" i="11" s="1"/>
  <c r="N7" i="11"/>
  <c r="M6" i="11"/>
  <c r="L6" i="11"/>
  <c r="K6" i="11"/>
  <c r="J6" i="11"/>
  <c r="I6" i="11"/>
  <c r="H6" i="11"/>
  <c r="G6" i="11"/>
  <c r="F6" i="11"/>
  <c r="E6" i="11"/>
  <c r="D6" i="11"/>
  <c r="C6" i="11"/>
  <c r="B6" i="11"/>
  <c r="N6" i="11" s="1"/>
  <c r="M5" i="11"/>
  <c r="M11" i="11" s="1"/>
  <c r="L5" i="11"/>
  <c r="L11" i="11" s="1"/>
  <c r="K5" i="11"/>
  <c r="K11" i="11" s="1"/>
  <c r="J5" i="11"/>
  <c r="J11" i="11" s="1"/>
  <c r="I5" i="11"/>
  <c r="I11" i="11" s="1"/>
  <c r="H5" i="11"/>
  <c r="H11" i="11" s="1"/>
  <c r="G5" i="11"/>
  <c r="G11" i="11" s="1"/>
  <c r="F5" i="11"/>
  <c r="F11" i="11" s="1"/>
  <c r="E5" i="11"/>
  <c r="E11" i="11" s="1"/>
  <c r="D5" i="11"/>
  <c r="D11" i="11" s="1"/>
  <c r="C5" i="11"/>
  <c r="C11" i="11" s="1"/>
  <c r="B5" i="11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L26" i="10"/>
  <c r="K26" i="10"/>
  <c r="J26" i="10"/>
  <c r="I26" i="10"/>
  <c r="H26" i="10"/>
  <c r="G26" i="10"/>
  <c r="F26" i="10"/>
  <c r="E26" i="10"/>
  <c r="D26" i="10"/>
  <c r="C26" i="10"/>
  <c r="M25" i="10"/>
  <c r="L25" i="10"/>
  <c r="K25" i="10"/>
  <c r="J25" i="10"/>
  <c r="I25" i="10"/>
  <c r="H25" i="10"/>
  <c r="G25" i="10"/>
  <c r="F25" i="10"/>
  <c r="E25" i="10"/>
  <c r="D25" i="10"/>
  <c r="C25" i="10"/>
  <c r="M24" i="10"/>
  <c r="L24" i="10"/>
  <c r="K24" i="10"/>
  <c r="J24" i="10"/>
  <c r="I24" i="10"/>
  <c r="H24" i="10"/>
  <c r="G24" i="10"/>
  <c r="F24" i="10"/>
  <c r="E24" i="10"/>
  <c r="D24" i="10"/>
  <c r="C24" i="10"/>
  <c r="M23" i="10"/>
  <c r="L23" i="10"/>
  <c r="K23" i="10"/>
  <c r="J23" i="10"/>
  <c r="I23" i="10"/>
  <c r="H23" i="10"/>
  <c r="G23" i="10"/>
  <c r="F23" i="10"/>
  <c r="E23" i="10"/>
  <c r="D23" i="10"/>
  <c r="C23" i="10"/>
  <c r="M22" i="10"/>
  <c r="L22" i="10"/>
  <c r="K22" i="10"/>
  <c r="J22" i="10"/>
  <c r="I22" i="10"/>
  <c r="H22" i="10"/>
  <c r="G22" i="10"/>
  <c r="F22" i="10"/>
  <c r="E22" i="10"/>
  <c r="D22" i="10"/>
  <c r="C22" i="10"/>
  <c r="M21" i="10"/>
  <c r="L21" i="10"/>
  <c r="K21" i="10"/>
  <c r="J21" i="10"/>
  <c r="I21" i="10"/>
  <c r="H21" i="10"/>
  <c r="G21" i="10"/>
  <c r="F21" i="10"/>
  <c r="E21" i="10"/>
  <c r="D21" i="10"/>
  <c r="C21" i="10"/>
  <c r="M20" i="10"/>
  <c r="L20" i="10"/>
  <c r="K20" i="10"/>
  <c r="J20" i="10"/>
  <c r="I20" i="10"/>
  <c r="H20" i="10"/>
  <c r="G20" i="10"/>
  <c r="F20" i="10"/>
  <c r="E20" i="10"/>
  <c r="D20" i="10"/>
  <c r="C20" i="10"/>
  <c r="M19" i="10"/>
  <c r="L19" i="10"/>
  <c r="K19" i="10"/>
  <c r="J19" i="10"/>
  <c r="I19" i="10"/>
  <c r="H19" i="10"/>
  <c r="G19" i="10"/>
  <c r="F19" i="10"/>
  <c r="E19" i="10"/>
  <c r="D19" i="10"/>
  <c r="C19" i="10"/>
  <c r="M18" i="10"/>
  <c r="L18" i="10"/>
  <c r="K18" i="10"/>
  <c r="J18" i="10"/>
  <c r="I18" i="10"/>
  <c r="H18" i="10"/>
  <c r="G18" i="10"/>
  <c r="F18" i="10"/>
  <c r="E18" i="10"/>
  <c r="D18" i="10"/>
  <c r="C18" i="10"/>
  <c r="M17" i="10"/>
  <c r="L17" i="10"/>
  <c r="K17" i="10"/>
  <c r="J17" i="10"/>
  <c r="I17" i="10"/>
  <c r="H17" i="10"/>
  <c r="G17" i="10"/>
  <c r="F17" i="10"/>
  <c r="E17" i="10"/>
  <c r="D17" i="10"/>
  <c r="C17" i="10"/>
  <c r="M16" i="10"/>
  <c r="L16" i="10"/>
  <c r="K16" i="10"/>
  <c r="J16" i="10"/>
  <c r="I16" i="10"/>
  <c r="H16" i="10"/>
  <c r="G16" i="10"/>
  <c r="F16" i="10"/>
  <c r="E16" i="10"/>
  <c r="D16" i="10"/>
  <c r="C16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N30" i="12" l="1"/>
  <c r="N22" i="12"/>
  <c r="N20" i="12"/>
  <c r="N18" i="12"/>
  <c r="B32" i="12"/>
  <c r="C34" i="12"/>
  <c r="B11" i="12"/>
  <c r="N5" i="12"/>
  <c r="N16" i="12"/>
  <c r="D15" i="12"/>
  <c r="N29" i="11"/>
  <c r="B32" i="11"/>
  <c r="B11" i="11"/>
  <c r="N5" i="11"/>
  <c r="C32" i="11"/>
  <c r="N16" i="11"/>
  <c r="D15" i="11"/>
  <c r="C16" i="11"/>
  <c r="D16" i="11" s="1"/>
  <c r="E16" i="11" s="1"/>
  <c r="F16" i="11" s="1"/>
  <c r="G16" i="11" s="1"/>
  <c r="H16" i="11" s="1"/>
  <c r="I16" i="11" s="1"/>
  <c r="J16" i="11" s="1"/>
  <c r="K16" i="11" s="1"/>
  <c r="L16" i="11" s="1"/>
  <c r="M16" i="11" s="1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C15" i="10"/>
  <c r="M9" i="10"/>
  <c r="L9" i="10"/>
  <c r="K9" i="10"/>
  <c r="J9" i="10"/>
  <c r="I9" i="10"/>
  <c r="H9" i="10"/>
  <c r="G9" i="10"/>
  <c r="F9" i="10"/>
  <c r="E9" i="10"/>
  <c r="D9" i="10"/>
  <c r="C9" i="10"/>
  <c r="B9" i="10"/>
  <c r="N9" i="10" s="1"/>
  <c r="M8" i="10"/>
  <c r="L8" i="10"/>
  <c r="K8" i="10"/>
  <c r="J8" i="10"/>
  <c r="I8" i="10"/>
  <c r="H8" i="10"/>
  <c r="G8" i="10"/>
  <c r="F8" i="10"/>
  <c r="E8" i="10"/>
  <c r="D8" i="10"/>
  <c r="C8" i="10"/>
  <c r="B8" i="10"/>
  <c r="N8" i="10" s="1"/>
  <c r="N7" i="10"/>
  <c r="M6" i="10"/>
  <c r="L6" i="10"/>
  <c r="K6" i="10"/>
  <c r="J6" i="10"/>
  <c r="I6" i="10"/>
  <c r="H6" i="10"/>
  <c r="G6" i="10"/>
  <c r="F6" i="10"/>
  <c r="E6" i="10"/>
  <c r="D6" i="10"/>
  <c r="C6" i="10"/>
  <c r="B6" i="10"/>
  <c r="N6" i="10" s="1"/>
  <c r="M5" i="10"/>
  <c r="M11" i="10" s="1"/>
  <c r="L5" i="10"/>
  <c r="L11" i="10" s="1"/>
  <c r="K5" i="10"/>
  <c r="K11" i="10" s="1"/>
  <c r="J5" i="10"/>
  <c r="J11" i="10" s="1"/>
  <c r="I5" i="10"/>
  <c r="I11" i="10" s="1"/>
  <c r="H5" i="10"/>
  <c r="H11" i="10" s="1"/>
  <c r="G5" i="10"/>
  <c r="G11" i="10" s="1"/>
  <c r="F5" i="10"/>
  <c r="F11" i="10" s="1"/>
  <c r="E5" i="10"/>
  <c r="E11" i="10" s="1"/>
  <c r="D5" i="10"/>
  <c r="D11" i="10" s="1"/>
  <c r="C5" i="10"/>
  <c r="C11" i="10" s="1"/>
  <c r="B5" i="10"/>
  <c r="M30" i="8"/>
  <c r="L30" i="8"/>
  <c r="K30" i="8"/>
  <c r="J30" i="8"/>
  <c r="I30" i="8"/>
  <c r="H30" i="8"/>
  <c r="G30" i="8"/>
  <c r="F30" i="8"/>
  <c r="N30" i="8" s="1"/>
  <c r="E30" i="8"/>
  <c r="D30" i="8"/>
  <c r="C30" i="8"/>
  <c r="B30" i="8"/>
  <c r="M29" i="8"/>
  <c r="L29" i="8"/>
  <c r="K29" i="8"/>
  <c r="J29" i="8"/>
  <c r="I29" i="8"/>
  <c r="H29" i="8"/>
  <c r="G29" i="8"/>
  <c r="F29" i="8"/>
  <c r="N29" i="8" s="1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N28" i="8" s="1"/>
  <c r="C28" i="8"/>
  <c r="B28" i="8"/>
  <c r="M27" i="8"/>
  <c r="L27" i="8"/>
  <c r="K27" i="8"/>
  <c r="J27" i="8"/>
  <c r="I27" i="8"/>
  <c r="H27" i="8"/>
  <c r="G27" i="8"/>
  <c r="F27" i="8"/>
  <c r="E27" i="8"/>
  <c r="D27" i="8"/>
  <c r="N27" i="8" s="1"/>
  <c r="C27" i="8"/>
  <c r="B27" i="8"/>
  <c r="M26" i="8"/>
  <c r="L26" i="8"/>
  <c r="K26" i="8"/>
  <c r="J26" i="8"/>
  <c r="I26" i="8"/>
  <c r="H26" i="8"/>
  <c r="G26" i="8"/>
  <c r="F26" i="8"/>
  <c r="N26" i="8" s="1"/>
  <c r="E26" i="8"/>
  <c r="D26" i="8"/>
  <c r="C26" i="8"/>
  <c r="B26" i="8"/>
  <c r="M25" i="8"/>
  <c r="L25" i="8"/>
  <c r="K25" i="8"/>
  <c r="J25" i="8"/>
  <c r="I25" i="8"/>
  <c r="H25" i="8"/>
  <c r="G25" i="8"/>
  <c r="F25" i="8"/>
  <c r="E25" i="8"/>
  <c r="D25" i="8"/>
  <c r="C25" i="8"/>
  <c r="N25" i="8" s="1"/>
  <c r="B25" i="8"/>
  <c r="M24" i="8"/>
  <c r="L24" i="8"/>
  <c r="K24" i="8"/>
  <c r="J24" i="8"/>
  <c r="I24" i="8"/>
  <c r="H24" i="8"/>
  <c r="G24" i="8"/>
  <c r="F24" i="8"/>
  <c r="N24" i="8" s="1"/>
  <c r="E24" i="8"/>
  <c r="D24" i="8"/>
  <c r="C24" i="8"/>
  <c r="B24" i="8"/>
  <c r="M23" i="8"/>
  <c r="L23" i="8"/>
  <c r="K23" i="8"/>
  <c r="J23" i="8"/>
  <c r="I23" i="8"/>
  <c r="H23" i="8"/>
  <c r="G23" i="8"/>
  <c r="F23" i="8"/>
  <c r="N23" i="8" s="1"/>
  <c r="E23" i="8"/>
  <c r="D23" i="8"/>
  <c r="C23" i="8"/>
  <c r="B23" i="8"/>
  <c r="M22" i="8"/>
  <c r="L22" i="8"/>
  <c r="K22" i="8"/>
  <c r="J22" i="8"/>
  <c r="I22" i="8"/>
  <c r="H22" i="8"/>
  <c r="G22" i="8"/>
  <c r="F22" i="8"/>
  <c r="N22" i="8" s="1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D21" i="8"/>
  <c r="C21" i="8"/>
  <c r="B21" i="8"/>
  <c r="M20" i="8"/>
  <c r="L20" i="8"/>
  <c r="K20" i="8"/>
  <c r="J20" i="8"/>
  <c r="I20" i="8"/>
  <c r="H20" i="8"/>
  <c r="G20" i="8"/>
  <c r="F20" i="8"/>
  <c r="N20" i="8" s="1"/>
  <c r="E20" i="8"/>
  <c r="D20" i="8"/>
  <c r="C20" i="8"/>
  <c r="B20" i="8"/>
  <c r="M19" i="8"/>
  <c r="L19" i="8"/>
  <c r="K19" i="8"/>
  <c r="J19" i="8"/>
  <c r="I19" i="8"/>
  <c r="H19" i="8"/>
  <c r="G19" i="8"/>
  <c r="F19" i="8"/>
  <c r="N19" i="8" s="1"/>
  <c r="E19" i="8"/>
  <c r="D19" i="8"/>
  <c r="C19" i="8"/>
  <c r="B19" i="8"/>
  <c r="M18" i="8"/>
  <c r="L18" i="8"/>
  <c r="K18" i="8"/>
  <c r="J18" i="8"/>
  <c r="I18" i="8"/>
  <c r="H18" i="8"/>
  <c r="G18" i="8"/>
  <c r="F18" i="8"/>
  <c r="E18" i="8"/>
  <c r="D18" i="8"/>
  <c r="C18" i="8"/>
  <c r="N18" i="8" s="1"/>
  <c r="B18" i="8"/>
  <c r="M17" i="8"/>
  <c r="L17" i="8"/>
  <c r="K17" i="8"/>
  <c r="J17" i="8"/>
  <c r="I17" i="8"/>
  <c r="H17" i="8"/>
  <c r="G17" i="8"/>
  <c r="F17" i="8"/>
  <c r="E17" i="8"/>
  <c r="D17" i="8"/>
  <c r="C17" i="8"/>
  <c r="N17" i="8" s="1"/>
  <c r="B17" i="8"/>
  <c r="B16" i="8"/>
  <c r="B15" i="8"/>
  <c r="M2" i="8"/>
  <c r="L2" i="8"/>
  <c r="K2" i="8"/>
  <c r="J2" i="8"/>
  <c r="I2" i="8"/>
  <c r="H2" i="8"/>
  <c r="G2" i="8"/>
  <c r="F2" i="8"/>
  <c r="E2" i="8"/>
  <c r="D2" i="8"/>
  <c r="C2" i="8"/>
  <c r="B2" i="8"/>
  <c r="M5" i="8"/>
  <c r="M11" i="8" s="1"/>
  <c r="J5" i="8"/>
  <c r="J11" i="8" s="1"/>
  <c r="G5" i="8"/>
  <c r="G11" i="8" s="1"/>
  <c r="F5" i="8"/>
  <c r="F11" i="8" s="1"/>
  <c r="C5" i="8"/>
  <c r="C11" i="8" s="1"/>
  <c r="N21" i="8"/>
  <c r="M16" i="8"/>
  <c r="L16" i="8"/>
  <c r="K16" i="8"/>
  <c r="J16" i="8"/>
  <c r="I16" i="8"/>
  <c r="H16" i="8"/>
  <c r="G16" i="8"/>
  <c r="F16" i="8"/>
  <c r="E16" i="8"/>
  <c r="D16" i="8"/>
  <c r="C16" i="8"/>
  <c r="N16" i="8"/>
  <c r="C15" i="8"/>
  <c r="M9" i="8"/>
  <c r="L9" i="8"/>
  <c r="K9" i="8"/>
  <c r="J9" i="8"/>
  <c r="I9" i="8"/>
  <c r="H9" i="8"/>
  <c r="G9" i="8"/>
  <c r="F9" i="8"/>
  <c r="E9" i="8"/>
  <c r="D9" i="8"/>
  <c r="C9" i="8"/>
  <c r="B9" i="8"/>
  <c r="N9" i="8" s="1"/>
  <c r="M8" i="8"/>
  <c r="L8" i="8"/>
  <c r="K8" i="8"/>
  <c r="J8" i="8"/>
  <c r="I8" i="8"/>
  <c r="H8" i="8"/>
  <c r="G8" i="8"/>
  <c r="F8" i="8"/>
  <c r="E8" i="8"/>
  <c r="D8" i="8"/>
  <c r="C8" i="8"/>
  <c r="B8" i="8"/>
  <c r="N8" i="8" s="1"/>
  <c r="N7" i="8"/>
  <c r="N6" i="8"/>
  <c r="C2" i="13" s="1"/>
  <c r="L5" i="8"/>
  <c r="L11" i="8" s="1"/>
  <c r="K5" i="8"/>
  <c r="K11" i="8" s="1"/>
  <c r="I5" i="8"/>
  <c r="I11" i="8" s="1"/>
  <c r="H5" i="8"/>
  <c r="H11" i="8" s="1"/>
  <c r="E5" i="8"/>
  <c r="E11" i="8" s="1"/>
  <c r="D5" i="8"/>
  <c r="D11" i="8" s="1"/>
  <c r="B5" i="8"/>
  <c r="N37" i="12" l="1"/>
  <c r="F2" i="13"/>
  <c r="N37" i="11"/>
  <c r="E2" i="13"/>
  <c r="N37" i="8"/>
  <c r="E15" i="12"/>
  <c r="D32" i="12"/>
  <c r="N11" i="12"/>
  <c r="B34" i="12"/>
  <c r="C34" i="11"/>
  <c r="E15" i="11"/>
  <c r="D32" i="11"/>
  <c r="D34" i="11" s="1"/>
  <c r="N11" i="11"/>
  <c r="B34" i="11"/>
  <c r="B11" i="10"/>
  <c r="N5" i="10"/>
  <c r="D15" i="10"/>
  <c r="C32" i="10"/>
  <c r="C34" i="10" s="1"/>
  <c r="B32" i="10"/>
  <c r="B11" i="8"/>
  <c r="N5" i="8"/>
  <c r="C32" i="8"/>
  <c r="C34" i="8" s="1"/>
  <c r="D15" i="8"/>
  <c r="B32" i="8"/>
  <c r="D6" i="4"/>
  <c r="L8" i="3" s="1"/>
  <c r="M8" i="3"/>
  <c r="J8" i="3"/>
  <c r="I8" i="3"/>
  <c r="F8" i="3"/>
  <c r="E8" i="3"/>
  <c r="B8" i="3"/>
  <c r="N38" i="12" l="1"/>
  <c r="F5" i="13"/>
  <c r="N38" i="11"/>
  <c r="E5" i="13"/>
  <c r="N37" i="10"/>
  <c r="D2" i="13"/>
  <c r="D34" i="12"/>
  <c r="F15" i="12"/>
  <c r="E32" i="12"/>
  <c r="E34" i="12" s="1"/>
  <c r="F15" i="11"/>
  <c r="E32" i="11"/>
  <c r="E15" i="10"/>
  <c r="D32" i="10"/>
  <c r="D34" i="10" s="1"/>
  <c r="N11" i="10"/>
  <c r="B34" i="10"/>
  <c r="E15" i="8"/>
  <c r="D32" i="8"/>
  <c r="D34" i="8" s="1"/>
  <c r="B34" i="8"/>
  <c r="N11" i="8"/>
  <c r="C5" i="13" s="1"/>
  <c r="C8" i="3"/>
  <c r="G8" i="3"/>
  <c r="K8" i="3"/>
  <c r="D8" i="3"/>
  <c r="H8" i="3"/>
  <c r="E5" i="1"/>
  <c r="F5" i="1" s="1"/>
  <c r="M30" i="3"/>
  <c r="L30" i="3"/>
  <c r="K30" i="3"/>
  <c r="J30" i="3"/>
  <c r="I30" i="3"/>
  <c r="H30" i="3"/>
  <c r="G30" i="3"/>
  <c r="F30" i="3"/>
  <c r="E30" i="3"/>
  <c r="D30" i="3"/>
  <c r="C30" i="3"/>
  <c r="B30" i="3"/>
  <c r="M29" i="3"/>
  <c r="L29" i="3"/>
  <c r="K29" i="3"/>
  <c r="J29" i="3"/>
  <c r="I29" i="3"/>
  <c r="H29" i="3"/>
  <c r="G29" i="3"/>
  <c r="F29" i="3"/>
  <c r="E29" i="3"/>
  <c r="D29" i="3"/>
  <c r="C29" i="3"/>
  <c r="B29" i="3"/>
  <c r="M28" i="3"/>
  <c r="L28" i="3"/>
  <c r="K28" i="3"/>
  <c r="J28" i="3"/>
  <c r="I28" i="3"/>
  <c r="H28" i="3"/>
  <c r="G28" i="3"/>
  <c r="F28" i="3"/>
  <c r="E28" i="3"/>
  <c r="D28" i="3"/>
  <c r="C28" i="3"/>
  <c r="B28" i="3"/>
  <c r="M27" i="3"/>
  <c r="L27" i="3"/>
  <c r="K27" i="3"/>
  <c r="J27" i="3"/>
  <c r="I27" i="3"/>
  <c r="H27" i="3"/>
  <c r="G27" i="3"/>
  <c r="F27" i="3"/>
  <c r="E27" i="3"/>
  <c r="D27" i="3"/>
  <c r="C27" i="3"/>
  <c r="B27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L24" i="3"/>
  <c r="K24" i="3"/>
  <c r="J24" i="3"/>
  <c r="I24" i="3"/>
  <c r="H24" i="3"/>
  <c r="G24" i="3"/>
  <c r="F24" i="3"/>
  <c r="E24" i="3"/>
  <c r="D24" i="3"/>
  <c r="C24" i="3"/>
  <c r="B24" i="3"/>
  <c r="M23" i="3"/>
  <c r="L23" i="3"/>
  <c r="K23" i="3"/>
  <c r="J23" i="3"/>
  <c r="I23" i="3"/>
  <c r="H23" i="3"/>
  <c r="G23" i="3"/>
  <c r="F23" i="3"/>
  <c r="E23" i="3"/>
  <c r="D23" i="3"/>
  <c r="C23" i="3"/>
  <c r="B23" i="3"/>
  <c r="M22" i="3"/>
  <c r="L22" i="3"/>
  <c r="K22" i="3"/>
  <c r="J22" i="3"/>
  <c r="I22" i="3"/>
  <c r="H22" i="3"/>
  <c r="G22" i="3"/>
  <c r="F22" i="3"/>
  <c r="E22" i="3"/>
  <c r="D22" i="3"/>
  <c r="C22" i="3"/>
  <c r="B22" i="3"/>
  <c r="M21" i="3"/>
  <c r="L21" i="3"/>
  <c r="K21" i="3"/>
  <c r="J21" i="3"/>
  <c r="I21" i="3"/>
  <c r="H21" i="3"/>
  <c r="G21" i="3"/>
  <c r="F21" i="3"/>
  <c r="E21" i="3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J7" i="6"/>
  <c r="H8" i="6"/>
  <c r="G8" i="6"/>
  <c r="D8" i="6"/>
  <c r="C8" i="6"/>
  <c r="G7" i="6"/>
  <c r="G6" i="6"/>
  <c r="F7" i="6"/>
  <c r="F6" i="6"/>
  <c r="E7" i="6"/>
  <c r="N38" i="10" l="1"/>
  <c r="D5" i="13"/>
  <c r="N38" i="8"/>
  <c r="F32" i="12"/>
  <c r="F34" i="12" s="1"/>
  <c r="G15" i="12"/>
  <c r="E34" i="11"/>
  <c r="F32" i="11"/>
  <c r="F34" i="11" s="1"/>
  <c r="G15" i="11"/>
  <c r="E32" i="10"/>
  <c r="E34" i="10" s="1"/>
  <c r="F15" i="10"/>
  <c r="F15" i="8"/>
  <c r="E32" i="8"/>
  <c r="I7" i="6"/>
  <c r="E6" i="6"/>
  <c r="G5" i="6"/>
  <c r="E5" i="6"/>
  <c r="E8" i="6" s="1"/>
  <c r="H15" i="12" l="1"/>
  <c r="G32" i="12"/>
  <c r="H15" i="11"/>
  <c r="G32" i="11"/>
  <c r="G34" i="11" s="1"/>
  <c r="G15" i="10"/>
  <c r="F32" i="10"/>
  <c r="F34" i="10" s="1"/>
  <c r="G15" i="8"/>
  <c r="F32" i="8"/>
  <c r="F34" i="8" s="1"/>
  <c r="E34" i="8"/>
  <c r="F5" i="6"/>
  <c r="G34" i="12" l="1"/>
  <c r="I15" i="12"/>
  <c r="H32" i="12"/>
  <c r="H34" i="12" s="1"/>
  <c r="I15" i="11"/>
  <c r="H32" i="11"/>
  <c r="H34" i="11" s="1"/>
  <c r="H15" i="10"/>
  <c r="G32" i="10"/>
  <c r="G32" i="8"/>
  <c r="H15" i="8"/>
  <c r="I5" i="6"/>
  <c r="I8" i="6" s="1"/>
  <c r="F8" i="6"/>
  <c r="J15" i="12" l="1"/>
  <c r="I32" i="12"/>
  <c r="I34" i="12" s="1"/>
  <c r="J15" i="11"/>
  <c r="I32" i="11"/>
  <c r="I34" i="11" s="1"/>
  <c r="G34" i="10"/>
  <c r="I15" i="10"/>
  <c r="H32" i="10"/>
  <c r="H34" i="10" s="1"/>
  <c r="I15" i="8"/>
  <c r="H32" i="8"/>
  <c r="H34" i="8" s="1"/>
  <c r="G34" i="8"/>
  <c r="J5" i="6"/>
  <c r="J8" i="6" s="1"/>
  <c r="B15" i="3" s="1"/>
  <c r="C15" i="3" s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I6" i="6"/>
  <c r="D14" i="7"/>
  <c r="D13" i="7"/>
  <c r="D7" i="7"/>
  <c r="D6" i="7"/>
  <c r="D5" i="7"/>
  <c r="D10" i="7" s="1"/>
  <c r="D4" i="7"/>
  <c r="D3" i="7"/>
  <c r="D2" i="7"/>
  <c r="J32" i="12" l="1"/>
  <c r="J34" i="12" s="1"/>
  <c r="K15" i="12"/>
  <c r="J32" i="11"/>
  <c r="J34" i="11" s="1"/>
  <c r="K15" i="11"/>
  <c r="I32" i="10"/>
  <c r="I34" i="10" s="1"/>
  <c r="J15" i="10"/>
  <c r="J15" i="8"/>
  <c r="I32" i="8"/>
  <c r="I34" i="8" s="1"/>
  <c r="J6" i="6"/>
  <c r="E28" i="1"/>
  <c r="F28" i="1" s="1"/>
  <c r="E18" i="1"/>
  <c r="F18" i="1" s="1"/>
  <c r="K32" i="12" l="1"/>
  <c r="K34" i="12" s="1"/>
  <c r="L15" i="12"/>
  <c r="K32" i="11"/>
  <c r="K34" i="11" s="1"/>
  <c r="L15" i="11"/>
  <c r="K15" i="10"/>
  <c r="J32" i="10"/>
  <c r="J34" i="10" s="1"/>
  <c r="K15" i="8"/>
  <c r="J32" i="8"/>
  <c r="J34" i="8" s="1"/>
  <c r="D62" i="1"/>
  <c r="D61" i="1"/>
  <c r="D60" i="1"/>
  <c r="D58" i="1"/>
  <c r="D59" i="1" s="1"/>
  <c r="D56" i="1"/>
  <c r="D55" i="1"/>
  <c r="D54" i="1"/>
  <c r="F47" i="1"/>
  <c r="F46" i="1"/>
  <c r="M15" i="12" l="1"/>
  <c r="L32" i="12"/>
  <c r="L34" i="12" s="1"/>
  <c r="M15" i="11"/>
  <c r="L32" i="11"/>
  <c r="L34" i="11" s="1"/>
  <c r="L15" i="10"/>
  <c r="K32" i="10"/>
  <c r="K34" i="10" s="1"/>
  <c r="K32" i="8"/>
  <c r="K34" i="8" s="1"/>
  <c r="L15" i="8"/>
  <c r="D63" i="1"/>
  <c r="D57" i="1"/>
  <c r="E39" i="1"/>
  <c r="E36" i="1"/>
  <c r="E35" i="1"/>
  <c r="E34" i="1"/>
  <c r="E31" i="1"/>
  <c r="E30" i="1"/>
  <c r="E29" i="1"/>
  <c r="E25" i="1"/>
  <c r="E24" i="1"/>
  <c r="E23" i="1"/>
  <c r="E22" i="1"/>
  <c r="E19" i="1"/>
  <c r="E17" i="1"/>
  <c r="E14" i="1"/>
  <c r="E13" i="1"/>
  <c r="E12" i="1"/>
  <c r="E11" i="1"/>
  <c r="E10" i="1"/>
  <c r="E7" i="1"/>
  <c r="E6" i="1"/>
  <c r="E4" i="1"/>
  <c r="M32" i="12" l="1"/>
  <c r="N15" i="12"/>
  <c r="M32" i="11"/>
  <c r="N15" i="11"/>
  <c r="M15" i="10"/>
  <c r="L32" i="10"/>
  <c r="L34" i="10" s="1"/>
  <c r="M15" i="8"/>
  <c r="L32" i="8"/>
  <c r="L34" i="8" s="1"/>
  <c r="J43" i="1"/>
  <c r="I43" i="1"/>
  <c r="M34" i="12" l="1"/>
  <c r="N34" i="12" s="1"/>
  <c r="N32" i="12"/>
  <c r="N39" i="12" s="1"/>
  <c r="M34" i="11"/>
  <c r="N34" i="11" s="1"/>
  <c r="N32" i="11"/>
  <c r="N39" i="11" s="1"/>
  <c r="M32" i="10"/>
  <c r="N15" i="10"/>
  <c r="M32" i="8"/>
  <c r="N15" i="8"/>
  <c r="J49" i="1"/>
  <c r="B7" i="5"/>
  <c r="I49" i="1"/>
  <c r="K49" i="1" s="1"/>
  <c r="K43" i="1"/>
  <c r="A7" i="5"/>
  <c r="M9" i="3"/>
  <c r="L9" i="3"/>
  <c r="K9" i="3"/>
  <c r="J9" i="3"/>
  <c r="I9" i="3"/>
  <c r="H9" i="3"/>
  <c r="G9" i="3"/>
  <c r="F9" i="3"/>
  <c r="E9" i="3"/>
  <c r="D9" i="3"/>
  <c r="C9" i="3"/>
  <c r="B9" i="3"/>
  <c r="N24" i="3"/>
  <c r="N7" i="3"/>
  <c r="B24" i="2"/>
  <c r="F39" i="1"/>
  <c r="B61" i="1" s="1"/>
  <c r="F36" i="1"/>
  <c r="B62" i="1" s="1"/>
  <c r="C62" i="1" s="1"/>
  <c r="F35" i="1"/>
  <c r="B55" i="1" s="1"/>
  <c r="C55" i="1" s="1"/>
  <c r="F34" i="1"/>
  <c r="B56" i="1" s="1"/>
  <c r="C56" i="1" s="1"/>
  <c r="F31" i="1"/>
  <c r="F30" i="1"/>
  <c r="F29" i="1"/>
  <c r="F25" i="1"/>
  <c r="F24" i="1"/>
  <c r="F23" i="1"/>
  <c r="F22" i="1"/>
  <c r="F19" i="1"/>
  <c r="F17" i="1"/>
  <c r="F14" i="1"/>
  <c r="F13" i="1"/>
  <c r="F12" i="1"/>
  <c r="F11" i="1"/>
  <c r="F10" i="1"/>
  <c r="F7" i="1"/>
  <c r="F6" i="1"/>
  <c r="F4" i="1"/>
  <c r="D41" i="1"/>
  <c r="F9" i="13" l="1"/>
  <c r="E9" i="13"/>
  <c r="M34" i="10"/>
  <c r="N34" i="10" s="1"/>
  <c r="D9" i="13" s="1"/>
  <c r="N32" i="10"/>
  <c r="N39" i="10" s="1"/>
  <c r="M34" i="8"/>
  <c r="N34" i="8" s="1"/>
  <c r="C9" i="13" s="1"/>
  <c r="N32" i="8"/>
  <c r="N39" i="8" s="1"/>
  <c r="N30" i="3"/>
  <c r="N28" i="3"/>
  <c r="N9" i="3"/>
  <c r="C7" i="5"/>
  <c r="F7" i="5" s="1"/>
  <c r="B6" i="3" s="1"/>
  <c r="B63" i="1"/>
  <c r="C63" i="1" s="1"/>
  <c r="C61" i="1"/>
  <c r="F45" i="1"/>
  <c r="B58" i="1"/>
  <c r="C58" i="1" s="1"/>
  <c r="B60" i="1"/>
  <c r="C60" i="1" s="1"/>
  <c r="N26" i="3"/>
  <c r="B54" i="1"/>
  <c r="N27" i="3"/>
  <c r="C32" i="3"/>
  <c r="F41" i="1"/>
  <c r="E32" i="3"/>
  <c r="N29" i="3"/>
  <c r="D32" i="3"/>
  <c r="B32" i="3"/>
  <c r="N16" i="3"/>
  <c r="N17" i="3"/>
  <c r="N18" i="3"/>
  <c r="N19" i="3"/>
  <c r="N20" i="3"/>
  <c r="N21" i="3"/>
  <c r="N22" i="3"/>
  <c r="N23" i="3"/>
  <c r="N15" i="3"/>
  <c r="M6" i="3" l="1"/>
  <c r="C6" i="3"/>
  <c r="D6" i="3"/>
  <c r="F6" i="3"/>
  <c r="G6" i="3"/>
  <c r="I6" i="3"/>
  <c r="E6" i="3"/>
  <c r="J6" i="3"/>
  <c r="K6" i="3"/>
  <c r="L6" i="3"/>
  <c r="H6" i="3"/>
  <c r="B59" i="1"/>
  <c r="C59" i="1" s="1"/>
  <c r="B57" i="1"/>
  <c r="C54" i="1"/>
  <c r="K2" i="3"/>
  <c r="K5" i="3" s="1"/>
  <c r="F42" i="1"/>
  <c r="G2" i="3"/>
  <c r="G5" i="3" s="1"/>
  <c r="G11" i="3" s="1"/>
  <c r="B2" i="3"/>
  <c r="B5" i="3" s="1"/>
  <c r="B11" i="3" s="1"/>
  <c r="M2" i="3"/>
  <c r="M5" i="3" s="1"/>
  <c r="J2" i="3"/>
  <c r="J5" i="3" s="1"/>
  <c r="J11" i="3" s="1"/>
  <c r="D2" i="3"/>
  <c r="D5" i="3" s="1"/>
  <c r="F2" i="3"/>
  <c r="F5" i="3" s="1"/>
  <c r="E2" i="3"/>
  <c r="E5" i="3" s="1"/>
  <c r="E11" i="3" s="1"/>
  <c r="E34" i="3" s="1"/>
  <c r="L2" i="3"/>
  <c r="L5" i="3" s="1"/>
  <c r="C2" i="3"/>
  <c r="C5" i="3" s="1"/>
  <c r="I32" i="3"/>
  <c r="G32" i="3"/>
  <c r="H32" i="3"/>
  <c r="F32" i="3"/>
  <c r="N8" i="3"/>
  <c r="C11" i="3" l="1"/>
  <c r="C34" i="3" s="1"/>
  <c r="D11" i="3"/>
  <c r="D34" i="3" s="1"/>
  <c r="M11" i="3"/>
  <c r="F11" i="3"/>
  <c r="F34" i="3" s="1"/>
  <c r="L11" i="3"/>
  <c r="N6" i="3"/>
  <c r="K11" i="3"/>
  <c r="C57" i="1"/>
  <c r="C66" i="1" s="1"/>
  <c r="B66" i="1"/>
  <c r="H2" i="3"/>
  <c r="H5" i="3" s="1"/>
  <c r="H11" i="3" s="1"/>
  <c r="H34" i="3" s="1"/>
  <c r="I2" i="3"/>
  <c r="I5" i="3" s="1"/>
  <c r="I11" i="3" s="1"/>
  <c r="I34" i="3" s="1"/>
  <c r="G34" i="3"/>
  <c r="J32" i="3"/>
  <c r="J34" i="3" s="1"/>
  <c r="B34" i="3"/>
  <c r="N11" i="3" l="1"/>
  <c r="N5" i="3"/>
  <c r="K32" i="3"/>
  <c r="M32" i="3" l="1"/>
  <c r="M34" i="3" s="1"/>
  <c r="L32" i="3"/>
  <c r="L34" i="3" s="1"/>
  <c r="K34" i="3"/>
  <c r="N32" i="3" l="1"/>
  <c r="N34" i="3"/>
  <c r="N25" i="3"/>
</calcChain>
</file>

<file path=xl/sharedStrings.xml><?xml version="1.0" encoding="utf-8"?>
<sst xmlns="http://schemas.openxmlformats.org/spreadsheetml/2006/main" count="473" uniqueCount="179">
  <si>
    <t>Walking football</t>
  </si>
  <si>
    <t>Total Toning</t>
  </si>
  <si>
    <t xml:space="preserve">Youth group </t>
  </si>
  <si>
    <t>Mon</t>
  </si>
  <si>
    <t>Tues</t>
  </si>
  <si>
    <t>Weds</t>
  </si>
  <si>
    <t>Thurs</t>
  </si>
  <si>
    <t>Sat</t>
  </si>
  <si>
    <t xml:space="preserve">Sun </t>
  </si>
  <si>
    <t>Hours</t>
  </si>
  <si>
    <t>Rate</t>
  </si>
  <si>
    <t>Fri</t>
  </si>
  <si>
    <t>Paracise</t>
  </si>
  <si>
    <t>Dance group</t>
  </si>
  <si>
    <t>Homework dropin</t>
  </si>
  <si>
    <t>Homestart WL</t>
  </si>
  <si>
    <t xml:space="preserve">Rates: </t>
  </si>
  <si>
    <t>Hall 1 &amp; Kitchen</t>
  </si>
  <si>
    <t>Hall 3</t>
  </si>
  <si>
    <t>Hall 2&amp;3</t>
  </si>
  <si>
    <t>Full hall</t>
  </si>
  <si>
    <t>Meeting room</t>
  </si>
  <si>
    <t>Free lets</t>
  </si>
  <si>
    <t>Homestart Creche</t>
  </si>
  <si>
    <t xml:space="preserve">Dance group </t>
  </si>
  <si>
    <t xml:space="preserve">Healthy cooking </t>
  </si>
  <si>
    <t>Circuit training</t>
  </si>
  <si>
    <t xml:space="preserve">Youth café </t>
  </si>
  <si>
    <t>Slimming World</t>
  </si>
  <si>
    <t>Fauldhouse AFC</t>
  </si>
  <si>
    <t>Fauldhouse U14s</t>
  </si>
  <si>
    <t>Yoga group</t>
  </si>
  <si>
    <t xml:space="preserve">Total </t>
  </si>
  <si>
    <t xml:space="preserve">TOTAL </t>
  </si>
  <si>
    <t>AM</t>
  </si>
  <si>
    <t xml:space="preserve">PM </t>
  </si>
  <si>
    <t>EVE</t>
  </si>
  <si>
    <t>PM</t>
  </si>
  <si>
    <t>Development Worker</t>
  </si>
  <si>
    <t>Facilities Assistant</t>
  </si>
  <si>
    <t>Travel Expenses</t>
  </si>
  <si>
    <t xml:space="preserve">Event Expenses </t>
  </si>
  <si>
    <t xml:space="preserve">Property Expenses </t>
  </si>
  <si>
    <t>Cleaning Materials</t>
  </si>
  <si>
    <t>Health and Safety</t>
  </si>
  <si>
    <t>Fire Contract</t>
  </si>
  <si>
    <t>Intruder Alarm</t>
  </si>
  <si>
    <t>Gas/Electricity (Utilities)</t>
  </si>
  <si>
    <t>Water Rates</t>
  </si>
  <si>
    <t>Recycling Charges</t>
  </si>
  <si>
    <t xml:space="preserve">Postage </t>
  </si>
  <si>
    <t>Broadband</t>
  </si>
  <si>
    <t>Mobile Phone</t>
  </si>
  <si>
    <t>Advertising and Marketing</t>
  </si>
  <si>
    <t xml:space="preserve">Subscriptions and Licences </t>
  </si>
  <si>
    <t>STAFF:</t>
  </si>
  <si>
    <t>ADMINISTRATIVE:</t>
  </si>
  <si>
    <t>NOTES:</t>
  </si>
  <si>
    <t xml:space="preserve">All figures from Paul's 2019 budget </t>
  </si>
  <si>
    <t>Total</t>
  </si>
  <si>
    <t xml:space="preserve">Expenses </t>
  </si>
  <si>
    <t>Rental Income</t>
  </si>
  <si>
    <t>FCDT Match Funding</t>
  </si>
  <si>
    <t>Expenditure</t>
  </si>
  <si>
    <t>Cleaning</t>
  </si>
  <si>
    <t>Profit/Deficit</t>
  </si>
  <si>
    <t xml:space="preserve">Grants </t>
  </si>
  <si>
    <t>Income from regular lets per week</t>
  </si>
  <si>
    <t>Grants</t>
  </si>
  <si>
    <t>Other income</t>
  </si>
  <si>
    <t xml:space="preserve">Notes </t>
  </si>
  <si>
    <t xml:space="preserve"> </t>
  </si>
  <si>
    <t>Est footfall (adults)</t>
  </si>
  <si>
    <t>(kids)</t>
  </si>
  <si>
    <t xml:space="preserve">Total weekly purchases </t>
  </si>
  <si>
    <t>Football (youth)</t>
  </si>
  <si>
    <t>Football (adult)</t>
  </si>
  <si>
    <t>Adults</t>
  </si>
  <si>
    <t>Kids</t>
  </si>
  <si>
    <t>Sample schedule and footfall calculation</t>
  </si>
  <si>
    <t xml:space="preserve">1. Vending machines </t>
  </si>
  <si>
    <t>Adults purchasing</t>
  </si>
  <si>
    <t>Kids purchasing</t>
  </si>
  <si>
    <t>Avg value of purchase</t>
  </si>
  <si>
    <t xml:space="preserve">Cost of sales </t>
  </si>
  <si>
    <t>Based on percentage of adults/children using the building who will make a purchase and average value of purchase</t>
  </si>
  <si>
    <t>This assumes FBVCDT owns the machine and stocks it</t>
  </si>
  <si>
    <t>Months of year</t>
  </si>
  <si>
    <t>Footfall per week (outside summer)</t>
  </si>
  <si>
    <t>Outside summer</t>
  </si>
  <si>
    <t>In summer</t>
  </si>
  <si>
    <t>Seasonal income</t>
  </si>
  <si>
    <t>Seasonal footfall (adults)</t>
  </si>
  <si>
    <t>Seasonal footfall (kids)</t>
  </si>
  <si>
    <t>Footfall per week (in summer)</t>
  </si>
  <si>
    <t>2. Fundraising events</t>
  </si>
  <si>
    <t>To be filled in next Weds</t>
  </si>
  <si>
    <t>We'll update this to a staffing calculation after meeting on Wednesday 6th</t>
  </si>
  <si>
    <t>Totals per space:</t>
  </si>
  <si>
    <t>Hall 1</t>
  </si>
  <si>
    <t>Hall 2</t>
  </si>
  <si>
    <t>TOTAL SMALL</t>
  </si>
  <si>
    <t xml:space="preserve">TOTAL MEDIUM </t>
  </si>
  <si>
    <t>FULL HALL</t>
  </si>
  <si>
    <t>TOTAL FOOTBALL</t>
  </si>
  <si>
    <t xml:space="preserve">Weekly </t>
  </si>
  <si>
    <t>Yearly</t>
  </si>
  <si>
    <t>Based on 10 months' play</t>
  </si>
  <si>
    <t>Kids workshop</t>
  </si>
  <si>
    <t xml:space="preserve">Folding chairs </t>
  </si>
  <si>
    <t>Item</t>
  </si>
  <si>
    <t>Qty needed</t>
  </si>
  <si>
    <t>Unit price</t>
  </si>
  <si>
    <t xml:space="preserve">Folding tables </t>
  </si>
  <si>
    <t xml:space="preserve">Category </t>
  </si>
  <si>
    <t>Community</t>
  </si>
  <si>
    <t xml:space="preserve">Ballet barres </t>
  </si>
  <si>
    <t xml:space="preserve">Based on price search online for portable, adjustable height barres. </t>
  </si>
  <si>
    <t>Sports</t>
  </si>
  <si>
    <t>Category subtotals:</t>
  </si>
  <si>
    <t xml:space="preserve">Sports </t>
  </si>
  <si>
    <t>Gym mats</t>
  </si>
  <si>
    <t>Salary</t>
  </si>
  <si>
    <t>FTE</t>
  </si>
  <si>
    <t>Pro Rata</t>
  </si>
  <si>
    <t>NI</t>
  </si>
  <si>
    <t>Pension</t>
  </si>
  <si>
    <t>Expenses</t>
  </si>
  <si>
    <t>Total emp costs per individual</t>
  </si>
  <si>
    <t>Total for all employees</t>
  </si>
  <si>
    <t>Development officer</t>
  </si>
  <si>
    <t>Number</t>
  </si>
  <si>
    <t>Facilities assistant</t>
  </si>
  <si>
    <t>Based on price search online for wooden folding chairs</t>
  </si>
  <si>
    <t>Weekly gross profit</t>
  </si>
  <si>
    <t>Table sales, cinema nights, etc</t>
  </si>
  <si>
    <t>Baby ballet</t>
  </si>
  <si>
    <t>Activity coordinator</t>
  </si>
  <si>
    <t>Staffing</t>
  </si>
  <si>
    <t>No of weeks per month</t>
  </si>
  <si>
    <t>Parents group</t>
  </si>
  <si>
    <t>Fundraising and one-off events</t>
  </si>
  <si>
    <t>Vending machine income</t>
  </si>
  <si>
    <t>Yoga</t>
  </si>
  <si>
    <t>Village Improvement Fund</t>
  </si>
  <si>
    <t xml:space="preserve">West Lothian Development Trust </t>
  </si>
  <si>
    <t>Levenseat</t>
  </si>
  <si>
    <t xml:space="preserve">General Grants </t>
  </si>
  <si>
    <t>TBC</t>
  </si>
  <si>
    <t>Assuming these decrease after refurb - contributions to fund</t>
  </si>
  <si>
    <t>Assuming modest decrease following refurb</t>
  </si>
  <si>
    <t>Jan</t>
  </si>
  <si>
    <t>Apr</t>
  </si>
  <si>
    <t>May</t>
  </si>
  <si>
    <t>Feb</t>
  </si>
  <si>
    <t>Mar</t>
  </si>
  <si>
    <t>Jun</t>
  </si>
  <si>
    <t>Jul</t>
  </si>
  <si>
    <t>Aug</t>
  </si>
  <si>
    <t>Sept</t>
  </si>
  <si>
    <t>Oct</t>
  </si>
  <si>
    <t>Nov</t>
  </si>
  <si>
    <t>Dec</t>
  </si>
  <si>
    <t>5% increase in room lets through better promotion</t>
  </si>
  <si>
    <t>remains the same</t>
  </si>
  <si>
    <t xml:space="preserve">3% inflation </t>
  </si>
  <si>
    <t>Total income from trading</t>
  </si>
  <si>
    <t>Percentage trading</t>
  </si>
  <si>
    <t>Without grants</t>
  </si>
  <si>
    <t>Year 1</t>
  </si>
  <si>
    <t>Year 2</t>
  </si>
  <si>
    <t>Year 3</t>
  </si>
  <si>
    <t>Year 4</t>
  </si>
  <si>
    <t xml:space="preserve">Year 5 </t>
  </si>
  <si>
    <t>Total income</t>
  </si>
  <si>
    <t>Income from trading</t>
  </si>
  <si>
    <t>Total expenditure</t>
  </si>
  <si>
    <t>Profit or loss</t>
  </si>
  <si>
    <t>3%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</si>
</sst>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2" fillId="0" borderId="5" xfId="0" applyFont="1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0" xfId="0" applyBorder="1"/>
    <xf numFmtId="6" fontId="0" fillId="2" borderId="0" xfId="0" applyNumberFormat="1" applyFill="1" applyBorder="1"/>
    <xf numFmtId="6" fontId="0" fillId="0" borderId="0" xfId="0" applyNumberFormat="1" applyBorder="1"/>
    <xf numFmtId="0" fontId="0" fillId="0" borderId="8" xfId="0" applyBorder="1"/>
    <xf numFmtId="0" fontId="0" fillId="0" borderId="4" xfId="0" applyBorder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2" fontId="0" fillId="0" borderId="0" xfId="0" applyNumberFormat="1"/>
    <xf numFmtId="164" fontId="0" fillId="0" borderId="0" xfId="0" applyNumberFormat="1" applyFont="1"/>
    <xf numFmtId="17" fontId="2" fillId="0" borderId="0" xfId="0" applyNumberFormat="1" applyFont="1"/>
    <xf numFmtId="9" fontId="0" fillId="0" borderId="0" xfId="2" applyFont="1"/>
    <xf numFmtId="0" fontId="2" fillId="0" borderId="6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1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/>
    <xf numFmtId="164" fontId="4" fillId="0" borderId="0" xfId="0" applyNumberFormat="1" applyFont="1"/>
    <xf numFmtId="6" fontId="0" fillId="0" borderId="0" xfId="0" applyNumberFormat="1"/>
    <xf numFmtId="6" fontId="2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right"/>
    </xf>
    <xf numFmtId="6" fontId="0" fillId="0" borderId="0" xfId="0" applyNumberFormat="1" applyFont="1"/>
    <xf numFmtId="8" fontId="0" fillId="0" borderId="0" xfId="0" applyNumberFormat="1"/>
    <xf numFmtId="0" fontId="2" fillId="0" borderId="0" xfId="0" applyFont="1"/>
    <xf numFmtId="164" fontId="0" fillId="0" borderId="11" xfId="0" applyNumberFormat="1" applyBorder="1"/>
    <xf numFmtId="0" fontId="0" fillId="0" borderId="11" xfId="0" applyNumberFormat="1" applyBorder="1"/>
    <xf numFmtId="0" fontId="2" fillId="0" borderId="11" xfId="0" applyNumberFormat="1" applyFont="1" applyBorder="1"/>
    <xf numFmtId="0" fontId="0" fillId="0" borderId="9" xfId="0" applyFont="1" applyBorder="1"/>
    <xf numFmtId="0" fontId="2" fillId="0" borderId="9" xfId="0" applyFont="1" applyBorder="1"/>
    <xf numFmtId="165" fontId="0" fillId="0" borderId="9" xfId="0" applyNumberFormat="1" applyBorder="1"/>
    <xf numFmtId="165" fontId="0" fillId="0" borderId="10" xfId="0" applyNumberFormat="1" applyBorder="1"/>
    <xf numFmtId="0" fontId="0" fillId="0" borderId="11" xfId="0" applyFont="1" applyBorder="1"/>
    <xf numFmtId="0" fontId="2" fillId="3" borderId="9" xfId="0" applyFont="1" applyFill="1" applyBorder="1"/>
    <xf numFmtId="0" fontId="0" fillId="3" borderId="11" xfId="0" applyFont="1" applyFill="1" applyBorder="1"/>
    <xf numFmtId="0" fontId="0" fillId="3" borderId="9" xfId="0" applyFont="1" applyFill="1" applyBorder="1"/>
    <xf numFmtId="0" fontId="0" fillId="3" borderId="10" xfId="0" applyFont="1" applyFill="1" applyBorder="1"/>
    <xf numFmtId="165" fontId="2" fillId="0" borderId="9" xfId="0" applyNumberFormat="1" applyFont="1" applyBorder="1"/>
    <xf numFmtId="165" fontId="0" fillId="0" borderId="9" xfId="0" applyNumberFormat="1" applyFont="1" applyBorder="1"/>
    <xf numFmtId="165" fontId="2" fillId="0" borderId="11" xfId="0" applyNumberFormat="1" applyFont="1" applyBorder="1"/>
    <xf numFmtId="164" fontId="0" fillId="0" borderId="9" xfId="0" applyNumberFormat="1" applyBorder="1"/>
    <xf numFmtId="0" fontId="2" fillId="3" borderId="11" xfId="0" applyFont="1" applyFill="1" applyBorder="1"/>
    <xf numFmtId="0" fontId="2" fillId="0" borderId="11" xfId="0" applyFont="1" applyBorder="1"/>
    <xf numFmtId="0" fontId="0" fillId="0" borderId="9" xfId="0" applyFont="1" applyFill="1" applyBorder="1" applyAlignment="1">
      <alignment wrapText="1"/>
    </xf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5" fontId="0" fillId="0" borderId="0" xfId="0" applyNumberFormat="1"/>
    <xf numFmtId="0" fontId="0" fillId="0" borderId="0" xfId="0" applyAlignment="1">
      <alignment horizontal="center"/>
    </xf>
  </cellXfs>
  <cellStyles count="11">
    <cellStyle name="Currency" xfId="1" builtinId="4"/>
    <cellStyle name="Currency 2" xfId="4"/>
    <cellStyle name="Currency 2 2" xfId="10"/>
    <cellStyle name="Currency 3" xfId="3"/>
    <cellStyle name="Currency 3 2" xfId="9"/>
    <cellStyle name="Currency 4" xfId="8"/>
    <cellStyle name="Normal" xfId="0" builtinId="0"/>
    <cellStyle name="Normal 2" xfId="5"/>
    <cellStyle name="Normal 3" xfId="6"/>
    <cellStyle name="Normal 4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0" sqref="B10"/>
    </sheetView>
  </sheetViews>
  <sheetFormatPr defaultRowHeight="15" x14ac:dyDescent="0.25"/>
  <cols>
    <col min="1" max="1" width="20" customWidth="1"/>
    <col min="2" max="2" width="11.140625" bestFit="1" customWidth="1"/>
    <col min="3" max="6" width="10.140625" bestFit="1" customWidth="1"/>
  </cols>
  <sheetData>
    <row r="1" spans="1:6" x14ac:dyDescent="0.25">
      <c r="B1" t="s">
        <v>169</v>
      </c>
      <c r="C1" t="s">
        <v>170</v>
      </c>
      <c r="D1" t="s">
        <v>171</v>
      </c>
      <c r="E1" t="s">
        <v>172</v>
      </c>
      <c r="F1" t="s">
        <v>173</v>
      </c>
    </row>
    <row r="2" spans="1:6" x14ac:dyDescent="0.25">
      <c r="A2" t="s">
        <v>175</v>
      </c>
      <c r="B2" s="65">
        <f>'Cash flow Y1'!N5+'Cash flow Y1'!N6+'Cash flow Y1'!N7</f>
        <v>41135.24</v>
      </c>
      <c r="C2" s="65">
        <f>'Cash flow Y2'!N5+'Cash flow Y2'!N6+'Cash flow Y2'!N7</f>
        <v>43102.237199999996</v>
      </c>
      <c r="D2" s="65">
        <f>'Cash flow Y3'!N5+'Cash flow Y3'!N6+'Cash flow Y3'!N7</f>
        <v>45076.057500000003</v>
      </c>
      <c r="E2" s="65">
        <f>'Cash flow Y4'!N5+'Cash flow Y4'!N6+'Cash flow Y4'!N7</f>
        <v>46347.692025000004</v>
      </c>
      <c r="F2" s="65">
        <f>'Cash flow Y5'!N5+'Cash flow Y5'!N6+'Cash flow Y5'!N7</f>
        <v>48530.664626250007</v>
      </c>
    </row>
    <row r="3" spans="1:6" x14ac:dyDescent="0.25">
      <c r="A3" t="s">
        <v>68</v>
      </c>
      <c r="B3" s="65">
        <f>'Cash flow Y1'!N8</f>
        <v>16500</v>
      </c>
      <c r="C3" s="65">
        <f>'Cash flow Y1'!N8</f>
        <v>16500</v>
      </c>
      <c r="D3" s="65">
        <f>'Cash flow Y1'!N8</f>
        <v>16500</v>
      </c>
      <c r="E3" s="65">
        <f>'Cash flow Y1'!N8</f>
        <v>16500</v>
      </c>
      <c r="F3" s="65">
        <f>'Cash flow Y1'!N8</f>
        <v>16500</v>
      </c>
    </row>
    <row r="4" spans="1:6" x14ac:dyDescent="0.25">
      <c r="B4" s="65"/>
      <c r="C4" s="65"/>
      <c r="D4" s="65"/>
      <c r="E4" s="65"/>
      <c r="F4" s="65"/>
    </row>
    <row r="5" spans="1:6" x14ac:dyDescent="0.25">
      <c r="A5" t="s">
        <v>174</v>
      </c>
      <c r="B5" s="65">
        <f>'Cash flow Y1'!N11</f>
        <v>57635.24</v>
      </c>
      <c r="C5" s="65">
        <f>'Cash flow Y2'!N11</f>
        <v>59602.237200000003</v>
      </c>
      <c r="D5" s="65">
        <f>'Cash flow Y3'!N11</f>
        <v>61576.057499999995</v>
      </c>
      <c r="E5" s="65">
        <f>'Cash flow Y4'!N11</f>
        <v>62847.692025000011</v>
      </c>
      <c r="F5" s="65">
        <f>'Cash flow Y5'!N11</f>
        <v>65030.66462625</v>
      </c>
    </row>
    <row r="6" spans="1:6" x14ac:dyDescent="0.25">
      <c r="B6" s="65"/>
      <c r="C6" s="65"/>
      <c r="D6" s="65"/>
      <c r="E6" s="65"/>
      <c r="F6" s="65"/>
    </row>
    <row r="7" spans="1:6" x14ac:dyDescent="0.25">
      <c r="A7" t="s">
        <v>176</v>
      </c>
      <c r="B7" s="65">
        <f>'Cash flow Y1'!N32</f>
        <v>55730.893180000006</v>
      </c>
      <c r="C7" s="65">
        <f>'Cash flow Y2'!$N$32</f>
        <v>57402.075289150031</v>
      </c>
      <c r="D7" s="65">
        <f>'Cash flow Y3'!$N$32</f>
        <v>59124.904574661989</v>
      </c>
      <c r="E7" s="65">
        <f>'Cash flow Y4'!$N$32</f>
        <v>60655.961481089966</v>
      </c>
      <c r="F7" s="65">
        <f>'Cash flow Y5'!$N$32</f>
        <v>62657.609413920436</v>
      </c>
    </row>
    <row r="8" spans="1:6" x14ac:dyDescent="0.25">
      <c r="B8" s="65"/>
      <c r="C8" s="65"/>
      <c r="D8" s="65"/>
      <c r="E8" s="65"/>
      <c r="F8" s="65"/>
    </row>
    <row r="9" spans="1:6" x14ac:dyDescent="0.25">
      <c r="A9" t="s">
        <v>177</v>
      </c>
      <c r="B9" s="65">
        <f>'Cash flow Y1'!N34</f>
        <v>1904.3468199999807</v>
      </c>
      <c r="C9" s="65">
        <f>'Cash flow Y2'!$N$34</f>
        <v>2200.161910849989</v>
      </c>
      <c r="D9" s="65">
        <f>'Cash flow Y3'!$N$34</f>
        <v>2451.152925338004</v>
      </c>
      <c r="E9" s="65">
        <f>'Cash flow Y4'!$N$34</f>
        <v>2191.7305439100201</v>
      </c>
      <c r="F9" s="65">
        <f>'Cash flow Y4'!$N$34</f>
        <v>2191.7305439100201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5" sqref="A5"/>
    </sheetView>
  </sheetViews>
  <sheetFormatPr defaultRowHeight="15" x14ac:dyDescent="0.25"/>
  <cols>
    <col min="1" max="1" width="44.85546875" style="61" customWidth="1"/>
    <col min="2" max="2" width="12.42578125" style="61" customWidth="1"/>
    <col min="3" max="3" width="10.7109375" style="61" customWidth="1"/>
    <col min="4" max="4" width="11" style="61" customWidth="1"/>
    <col min="5" max="5" width="10.5703125" style="61" customWidth="1"/>
    <col min="6" max="6" width="10.5703125" style="61" bestFit="1" customWidth="1"/>
    <col min="7" max="7" width="10.5703125" style="61" customWidth="1"/>
    <col min="8" max="8" width="9.85546875" style="61" bestFit="1" customWidth="1"/>
    <col min="9" max="9" width="10.140625" style="61" bestFit="1" customWidth="1"/>
    <col min="10" max="10" width="10.5703125" style="61" bestFit="1" customWidth="1"/>
    <col min="11" max="12" width="9.85546875" style="61" bestFit="1" customWidth="1"/>
    <col min="13" max="13" width="10.5703125" style="61" bestFit="1" customWidth="1"/>
    <col min="14" max="14" width="11.5703125" style="61" bestFit="1" customWidth="1"/>
    <col min="15" max="15" width="9.140625" style="61"/>
    <col min="16" max="16" width="10.85546875" style="61" bestFit="1" customWidth="1"/>
    <col min="17" max="16384" width="9.140625" style="61"/>
  </cols>
  <sheetData>
    <row r="1" spans="1:16" x14ac:dyDescent="0.25">
      <c r="B1" s="22" t="s">
        <v>151</v>
      </c>
      <c r="C1" s="22" t="s">
        <v>154</v>
      </c>
      <c r="D1" s="22" t="s">
        <v>155</v>
      </c>
      <c r="E1" s="22" t="s">
        <v>152</v>
      </c>
      <c r="F1" s="22" t="s">
        <v>153</v>
      </c>
      <c r="G1" s="22" t="s">
        <v>156</v>
      </c>
      <c r="H1" s="22" t="s">
        <v>157</v>
      </c>
      <c r="I1" s="22" t="s">
        <v>158</v>
      </c>
      <c r="J1" s="22" t="s">
        <v>159</v>
      </c>
      <c r="K1" s="22" t="s">
        <v>160</v>
      </c>
      <c r="L1" s="22" t="s">
        <v>161</v>
      </c>
      <c r="M1" s="22" t="s">
        <v>162</v>
      </c>
      <c r="N1" s="41" t="s">
        <v>59</v>
      </c>
    </row>
    <row r="2" spans="1:16" x14ac:dyDescent="0.25">
      <c r="A2" s="61" t="s">
        <v>67</v>
      </c>
      <c r="B2" s="62">
        <f>'Cash flow Y2'!B2*1.05</f>
        <v>928.30500000000006</v>
      </c>
      <c r="C2" s="62">
        <f>'Cash flow Y2'!C2*1.05</f>
        <v>928.30500000000006</v>
      </c>
      <c r="D2" s="62">
        <f>'Cash flow Y2'!D2*1.05</f>
        <v>928.30500000000006</v>
      </c>
      <c r="E2" s="62">
        <f>'Cash flow Y2'!E2*1.05</f>
        <v>928.30500000000006</v>
      </c>
      <c r="F2" s="62">
        <f>'Cash flow Y2'!F2*1.05</f>
        <v>928.30500000000006</v>
      </c>
      <c r="G2" s="62">
        <f>'Cash flow Y2'!G2*1.05</f>
        <v>928.30500000000006</v>
      </c>
      <c r="H2" s="62">
        <f>'Cash flow Y2'!H2*1.05</f>
        <v>274.52249999999998</v>
      </c>
      <c r="I2" s="62">
        <f>'Cash flow Y2'!I2*1.05</f>
        <v>274.52249999999998</v>
      </c>
      <c r="J2" s="62">
        <f>'Cash flow Y2'!J2*1.05</f>
        <v>928.30500000000006</v>
      </c>
      <c r="K2" s="62">
        <f>'Cash flow Y2'!K2*1.05</f>
        <v>928.30500000000006</v>
      </c>
      <c r="L2" s="62">
        <f>'Cash flow Y2'!L2*1.05</f>
        <v>928.30500000000006</v>
      </c>
      <c r="M2" s="62">
        <f>'Cash flow Y2'!M2*1.05</f>
        <v>928.30500000000006</v>
      </c>
      <c r="N2" s="18"/>
      <c r="O2" s="61" t="s">
        <v>163</v>
      </c>
    </row>
    <row r="3" spans="1:16" x14ac:dyDescent="0.25">
      <c r="A3" s="61" t="s">
        <v>139</v>
      </c>
      <c r="B3" s="18">
        <v>4</v>
      </c>
      <c r="C3" s="18">
        <v>4</v>
      </c>
      <c r="D3" s="18">
        <v>4</v>
      </c>
      <c r="E3" s="18">
        <v>4</v>
      </c>
      <c r="F3" s="18">
        <v>5</v>
      </c>
      <c r="G3" s="18">
        <v>4</v>
      </c>
      <c r="H3" s="18">
        <v>5</v>
      </c>
      <c r="I3" s="18">
        <v>4</v>
      </c>
      <c r="J3" s="18">
        <v>5</v>
      </c>
      <c r="K3" s="18">
        <v>4</v>
      </c>
      <c r="L3" s="18">
        <v>4</v>
      </c>
      <c r="M3" s="18">
        <v>5</v>
      </c>
      <c r="N3" s="18"/>
    </row>
    <row r="4" spans="1:1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6" x14ac:dyDescent="0.25">
      <c r="A5" s="61" t="s">
        <v>61</v>
      </c>
      <c r="B5" s="62">
        <f>B2*B3</f>
        <v>3713.2200000000003</v>
      </c>
      <c r="C5" s="62">
        <f t="shared" ref="C5:M5" si="0">C2*C3</f>
        <v>3713.2200000000003</v>
      </c>
      <c r="D5" s="62">
        <f t="shared" si="0"/>
        <v>3713.2200000000003</v>
      </c>
      <c r="E5" s="62">
        <f t="shared" si="0"/>
        <v>3713.2200000000003</v>
      </c>
      <c r="F5" s="62">
        <f t="shared" si="0"/>
        <v>4641.5250000000005</v>
      </c>
      <c r="G5" s="62">
        <f t="shared" si="0"/>
        <v>3713.2200000000003</v>
      </c>
      <c r="H5" s="62">
        <f t="shared" si="0"/>
        <v>1372.6125</v>
      </c>
      <c r="I5" s="62">
        <f t="shared" si="0"/>
        <v>1098.0899999999999</v>
      </c>
      <c r="J5" s="62">
        <f t="shared" si="0"/>
        <v>4641.5250000000005</v>
      </c>
      <c r="K5" s="62">
        <f t="shared" si="0"/>
        <v>3713.2200000000003</v>
      </c>
      <c r="L5" s="62">
        <f t="shared" si="0"/>
        <v>3713.2200000000003</v>
      </c>
      <c r="M5" s="62">
        <f t="shared" si="0"/>
        <v>4641.5250000000005</v>
      </c>
      <c r="N5" s="62">
        <f>SUM(B5:M5)</f>
        <v>42387.817500000005</v>
      </c>
    </row>
    <row r="6" spans="1:16" x14ac:dyDescent="0.25">
      <c r="A6" s="61" t="s">
        <v>142</v>
      </c>
      <c r="B6" s="61">
        <f>'Other income'!$F$7*'Cash flow Y3'!B3</f>
        <v>114.47999999999999</v>
      </c>
      <c r="C6" s="61">
        <f>'Other income'!$F$7*'Cash flow Y3'!C3</f>
        <v>114.47999999999999</v>
      </c>
      <c r="D6" s="61">
        <f>'Other income'!$F$7*'Cash flow Y3'!D3</f>
        <v>114.47999999999999</v>
      </c>
      <c r="E6" s="61">
        <f>'Other income'!$F$7*'Cash flow Y3'!E3</f>
        <v>114.47999999999999</v>
      </c>
      <c r="F6" s="61">
        <f>'Other income'!$F$7*'Cash flow Y3'!F3</f>
        <v>143.1</v>
      </c>
      <c r="G6" s="40">
        <f>('Other income'!$F$7*'Cash flow Y3'!G3)</f>
        <v>114.47999999999999</v>
      </c>
      <c r="H6" s="61">
        <f>'Other income'!$F$7*'Cash flow Y3'!H3</f>
        <v>143.1</v>
      </c>
      <c r="I6" s="61">
        <f>'Other income'!$F$7*'Cash flow Y3'!I3</f>
        <v>114.47999999999999</v>
      </c>
      <c r="J6" s="61">
        <f>'Other income'!$F$7*'Cash flow Y3'!J3</f>
        <v>143.1</v>
      </c>
      <c r="K6" s="40">
        <f>('Other income'!$F$7*'Cash flow Y3'!K3)</f>
        <v>114.47999999999999</v>
      </c>
      <c r="L6" s="61">
        <f>'Other income'!$F$7*'Cash flow Y3'!L3</f>
        <v>114.47999999999999</v>
      </c>
      <c r="M6" s="61">
        <f>'Other income'!$F$7*'Cash flow Y3'!M3</f>
        <v>143.1</v>
      </c>
      <c r="N6" s="62">
        <f>SUM(B6:M6)</f>
        <v>1488.24</v>
      </c>
      <c r="O6" s="61" t="s">
        <v>164</v>
      </c>
      <c r="P6" s="62"/>
    </row>
    <row r="7" spans="1:16" x14ac:dyDescent="0.25">
      <c r="A7" s="61" t="s">
        <v>141</v>
      </c>
      <c r="B7" s="62">
        <v>0</v>
      </c>
      <c r="C7" s="62">
        <v>0</v>
      </c>
      <c r="D7" s="62">
        <v>0</v>
      </c>
      <c r="E7" s="62">
        <v>0</v>
      </c>
      <c r="F7" s="62">
        <v>200</v>
      </c>
      <c r="G7" s="62">
        <v>200</v>
      </c>
      <c r="H7" s="62">
        <v>200</v>
      </c>
      <c r="I7" s="62">
        <v>200</v>
      </c>
      <c r="J7" s="62">
        <v>200</v>
      </c>
      <c r="K7" s="62">
        <v>0</v>
      </c>
      <c r="L7" s="62">
        <v>0</v>
      </c>
      <c r="M7" s="62">
        <v>200</v>
      </c>
      <c r="N7" s="62">
        <f>SUM(B7:M7)</f>
        <v>1200</v>
      </c>
    </row>
    <row r="8" spans="1:16" x14ac:dyDescent="0.25">
      <c r="A8" s="61" t="s">
        <v>66</v>
      </c>
      <c r="B8" s="62">
        <f>Grants!$D$6/12</f>
        <v>1375</v>
      </c>
      <c r="C8" s="62">
        <f>Grants!$D$6/12</f>
        <v>1375</v>
      </c>
      <c r="D8" s="62">
        <f>Grants!$D$6/12</f>
        <v>1375</v>
      </c>
      <c r="E8" s="62">
        <f>Grants!$D$6/12</f>
        <v>1375</v>
      </c>
      <c r="F8" s="62">
        <f>Grants!$D$6/12</f>
        <v>1375</v>
      </c>
      <c r="G8" s="62">
        <f>Grants!$D$6/12</f>
        <v>1375</v>
      </c>
      <c r="H8" s="62">
        <f>Grants!$D$6/12</f>
        <v>1375</v>
      </c>
      <c r="I8" s="62">
        <f>Grants!$D$6/12</f>
        <v>1375</v>
      </c>
      <c r="J8" s="62">
        <f>Grants!$D$6/12</f>
        <v>1375</v>
      </c>
      <c r="K8" s="62">
        <f>Grants!$D$6/12</f>
        <v>1375</v>
      </c>
      <c r="L8" s="62">
        <f>Grants!$D$6/12</f>
        <v>1375</v>
      </c>
      <c r="M8" s="62">
        <f>Grants!$D$6/12</f>
        <v>1375</v>
      </c>
      <c r="N8" s="62">
        <f>SUM(B8:M8)</f>
        <v>16500</v>
      </c>
    </row>
    <row r="9" spans="1:16" x14ac:dyDescent="0.25">
      <c r="A9" s="61" t="s">
        <v>62</v>
      </c>
      <c r="B9" s="62">
        <f>Grants!$D$2/12</f>
        <v>0</v>
      </c>
      <c r="C9" s="62">
        <f>Grants!$D$2/12</f>
        <v>0</v>
      </c>
      <c r="D9" s="62">
        <f>Grants!$D$2/12</f>
        <v>0</v>
      </c>
      <c r="E9" s="62">
        <f>Grants!$D$2/12</f>
        <v>0</v>
      </c>
      <c r="F9" s="62">
        <f>Grants!$D$2/12</f>
        <v>0</v>
      </c>
      <c r="G9" s="62">
        <f>Grants!$D$2/12</f>
        <v>0</v>
      </c>
      <c r="H9" s="62">
        <f>Grants!$D$2/12</f>
        <v>0</v>
      </c>
      <c r="I9" s="62">
        <f>Grants!$D$2/12</f>
        <v>0</v>
      </c>
      <c r="J9" s="62">
        <f>Grants!$D$2/12</f>
        <v>0</v>
      </c>
      <c r="K9" s="62">
        <f>Grants!$D$2/12</f>
        <v>0</v>
      </c>
      <c r="L9" s="62">
        <f>Grants!$D$2/12</f>
        <v>0</v>
      </c>
      <c r="M9" s="62">
        <f>Grants!$D$2/12</f>
        <v>0</v>
      </c>
      <c r="N9" s="62">
        <f>SUM(B9:M9)</f>
        <v>0</v>
      </c>
    </row>
    <row r="10" spans="1:16" x14ac:dyDescent="0.2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x14ac:dyDescent="0.25">
      <c r="A11" s="41" t="s">
        <v>59</v>
      </c>
      <c r="B11" s="15">
        <f t="shared" ref="B11:M11" si="1">SUM(B5:B9)</f>
        <v>5202.7000000000007</v>
      </c>
      <c r="C11" s="15">
        <f t="shared" si="1"/>
        <v>5202.7000000000007</v>
      </c>
      <c r="D11" s="15">
        <f t="shared" si="1"/>
        <v>5202.7000000000007</v>
      </c>
      <c r="E11" s="15">
        <f t="shared" si="1"/>
        <v>5202.7000000000007</v>
      </c>
      <c r="F11" s="15">
        <f t="shared" si="1"/>
        <v>6359.6250000000009</v>
      </c>
      <c r="G11" s="15">
        <f t="shared" si="1"/>
        <v>5402.7000000000007</v>
      </c>
      <c r="H11" s="15">
        <f t="shared" si="1"/>
        <v>3090.7124999999996</v>
      </c>
      <c r="I11" s="15">
        <f t="shared" si="1"/>
        <v>2787.5699999999997</v>
      </c>
      <c r="J11" s="15">
        <f t="shared" si="1"/>
        <v>6359.6250000000009</v>
      </c>
      <c r="K11" s="15">
        <f t="shared" si="1"/>
        <v>5202.7000000000007</v>
      </c>
      <c r="L11" s="15">
        <f t="shared" si="1"/>
        <v>5202.7000000000007</v>
      </c>
      <c r="M11" s="15">
        <f t="shared" si="1"/>
        <v>6359.6250000000009</v>
      </c>
      <c r="N11" s="15">
        <f>SUM(B11:M11)</f>
        <v>61576.057499999995</v>
      </c>
    </row>
    <row r="12" spans="1:16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6" x14ac:dyDescent="0.25">
      <c r="A13" s="41" t="s">
        <v>63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20"/>
    </row>
    <row r="14" spans="1:16" x14ac:dyDescent="0.2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5" t="s">
        <v>59</v>
      </c>
    </row>
    <row r="15" spans="1:16" x14ac:dyDescent="0.25">
      <c r="A15" s="61" t="s">
        <v>138</v>
      </c>
      <c r="B15" s="62">
        <f>'Cash flow Y2'!B15*1.03</f>
        <v>4180.4608618426673</v>
      </c>
      <c r="C15" s="62">
        <f>B15</f>
        <v>4180.4608618426673</v>
      </c>
      <c r="D15" s="62">
        <f t="shared" ref="D15:M15" si="2">C15</f>
        <v>4180.4608618426673</v>
      </c>
      <c r="E15" s="62">
        <f t="shared" si="2"/>
        <v>4180.4608618426673</v>
      </c>
      <c r="F15" s="62">
        <f t="shared" si="2"/>
        <v>4180.4608618426673</v>
      </c>
      <c r="G15" s="62">
        <f t="shared" si="2"/>
        <v>4180.4608618426673</v>
      </c>
      <c r="H15" s="62">
        <f t="shared" si="2"/>
        <v>4180.4608618426673</v>
      </c>
      <c r="I15" s="62">
        <f t="shared" si="2"/>
        <v>4180.4608618426673</v>
      </c>
      <c r="J15" s="62">
        <f t="shared" si="2"/>
        <v>4180.4608618426673</v>
      </c>
      <c r="K15" s="62">
        <f t="shared" si="2"/>
        <v>4180.4608618426673</v>
      </c>
      <c r="L15" s="62">
        <f t="shared" si="2"/>
        <v>4180.4608618426673</v>
      </c>
      <c r="M15" s="62">
        <f t="shared" si="2"/>
        <v>4180.4608618426673</v>
      </c>
      <c r="N15" s="21">
        <f>SUM(B15:M15)</f>
        <v>50165.530342111997</v>
      </c>
    </row>
    <row r="16" spans="1:16" x14ac:dyDescent="0.25">
      <c r="A16" s="61" t="s">
        <v>40</v>
      </c>
      <c r="B16" s="62">
        <f>('Cash flow Y2'!B16)*1.03</f>
        <v>2.3940534625000001</v>
      </c>
      <c r="C16" s="62">
        <f>B16</f>
        <v>2.3940534625000001</v>
      </c>
      <c r="D16" s="62">
        <f t="shared" ref="D16:M16" si="3">C16</f>
        <v>2.3940534625000001</v>
      </c>
      <c r="E16" s="62">
        <f t="shared" si="3"/>
        <v>2.3940534625000001</v>
      </c>
      <c r="F16" s="62">
        <f t="shared" si="3"/>
        <v>2.3940534625000001</v>
      </c>
      <c r="G16" s="62">
        <f t="shared" si="3"/>
        <v>2.3940534625000001</v>
      </c>
      <c r="H16" s="62">
        <f t="shared" si="3"/>
        <v>2.3940534625000001</v>
      </c>
      <c r="I16" s="62">
        <f t="shared" si="3"/>
        <v>2.3940534625000001</v>
      </c>
      <c r="J16" s="62">
        <f t="shared" si="3"/>
        <v>2.3940534625000001</v>
      </c>
      <c r="K16" s="62">
        <f t="shared" si="3"/>
        <v>2.3940534625000001</v>
      </c>
      <c r="L16" s="62">
        <f t="shared" si="3"/>
        <v>2.3940534625000001</v>
      </c>
      <c r="M16" s="62">
        <f t="shared" si="3"/>
        <v>2.3940534625000001</v>
      </c>
      <c r="N16" s="62">
        <f t="shared" ref="N16:N30" si="4">SUM(B16:M16)</f>
        <v>28.728641550000003</v>
      </c>
    </row>
    <row r="17" spans="1:16" x14ac:dyDescent="0.25">
      <c r="A17" s="61" t="s">
        <v>41</v>
      </c>
      <c r="B17" s="62">
        <f>('Cash flow Y2'!B17)*1.03</f>
        <v>4.4028676124999997</v>
      </c>
      <c r="C17" s="62">
        <f>('Cash flow Y2'!C17)*1.03</f>
        <v>4.4028676124999997</v>
      </c>
      <c r="D17" s="62">
        <f>('Cash flow Y2'!D17)*1.03</f>
        <v>4.4028676124999997</v>
      </c>
      <c r="E17" s="62">
        <f>('Cash flow Y2'!E17)*1.03</f>
        <v>4.4028676124999997</v>
      </c>
      <c r="F17" s="62">
        <f>('Cash flow Y2'!F17)*1.03</f>
        <v>4.4028676124999997</v>
      </c>
      <c r="G17" s="62">
        <f>('Cash flow Y2'!G17)*1.03</f>
        <v>4.4028676124999997</v>
      </c>
      <c r="H17" s="62">
        <f>('Cash flow Y2'!H17)*1.03</f>
        <v>4.4028676124999997</v>
      </c>
      <c r="I17" s="62">
        <f>('Cash flow Y2'!I17)*1.03</f>
        <v>4.4028676124999997</v>
      </c>
      <c r="J17" s="62">
        <f>('Cash flow Y2'!J17)*1.03</f>
        <v>4.4028676124999997</v>
      </c>
      <c r="K17" s="62">
        <f>('Cash flow Y2'!K17)*1.03</f>
        <v>4.4028676124999997</v>
      </c>
      <c r="L17" s="62">
        <f>('Cash flow Y2'!L17)*1.03</f>
        <v>4.4028676124999997</v>
      </c>
      <c r="M17" s="62">
        <f>('Cash flow Y2'!M17)*1.03</f>
        <v>4.4028676124999997</v>
      </c>
      <c r="N17" s="62">
        <f t="shared" si="4"/>
        <v>52.834411350000011</v>
      </c>
    </row>
    <row r="18" spans="1:16" x14ac:dyDescent="0.25">
      <c r="A18" s="61" t="s">
        <v>42</v>
      </c>
      <c r="B18" s="62">
        <f>('Cash flow Y2'!B18)*1.03</f>
        <v>265.22500000000002</v>
      </c>
      <c r="C18" s="62">
        <f>('Cash flow Y2'!C18)*1.03</f>
        <v>265.22500000000002</v>
      </c>
      <c r="D18" s="62">
        <f>('Cash flow Y2'!D18)*1.03</f>
        <v>265.22500000000002</v>
      </c>
      <c r="E18" s="62">
        <f>('Cash flow Y2'!E18)*1.03</f>
        <v>265.22500000000002</v>
      </c>
      <c r="F18" s="62">
        <f>('Cash flow Y2'!F18)*1.03</f>
        <v>265.22500000000002</v>
      </c>
      <c r="G18" s="62">
        <f>('Cash flow Y2'!G18)*1.03</f>
        <v>265.22500000000002</v>
      </c>
      <c r="H18" s="62">
        <f>('Cash flow Y2'!H18)*1.03</f>
        <v>265.22500000000002</v>
      </c>
      <c r="I18" s="62">
        <f>('Cash flow Y2'!I18)*1.03</f>
        <v>265.22500000000002</v>
      </c>
      <c r="J18" s="62">
        <f>('Cash flow Y2'!J18)*1.03</f>
        <v>265.22500000000002</v>
      </c>
      <c r="K18" s="62">
        <f>('Cash flow Y2'!K18)*1.03</f>
        <v>265.22500000000002</v>
      </c>
      <c r="L18" s="62">
        <f>('Cash flow Y2'!L18)*1.03</f>
        <v>265.22500000000002</v>
      </c>
      <c r="M18" s="62">
        <f>('Cash flow Y2'!M18)*1.03</f>
        <v>265.22500000000002</v>
      </c>
      <c r="N18" s="62">
        <f t="shared" si="4"/>
        <v>3182.6999999999994</v>
      </c>
    </row>
    <row r="19" spans="1:16" x14ac:dyDescent="0.25">
      <c r="A19" s="61" t="s">
        <v>64</v>
      </c>
      <c r="B19" s="62">
        <f>('Cash flow Y2'!B19)*1.03</f>
        <v>34.333641475</v>
      </c>
      <c r="C19" s="62">
        <f>('Cash flow Y2'!C19)*1.03</f>
        <v>34.333641475</v>
      </c>
      <c r="D19" s="62">
        <f>('Cash flow Y2'!D19)*1.03</f>
        <v>34.333641475</v>
      </c>
      <c r="E19" s="62">
        <f>('Cash flow Y2'!E19)*1.03</f>
        <v>34.333641475</v>
      </c>
      <c r="F19" s="62">
        <f>('Cash flow Y2'!F19)*1.03</f>
        <v>34.333641475</v>
      </c>
      <c r="G19" s="62">
        <f>('Cash flow Y2'!G19)*1.03</f>
        <v>34.333641475</v>
      </c>
      <c r="H19" s="62">
        <f>('Cash flow Y2'!H19)*1.03</f>
        <v>34.333641475</v>
      </c>
      <c r="I19" s="62">
        <f>('Cash flow Y2'!I19)*1.03</f>
        <v>34.333641475</v>
      </c>
      <c r="J19" s="62">
        <f>('Cash flow Y2'!J19)*1.03</f>
        <v>34.333641475</v>
      </c>
      <c r="K19" s="62">
        <f>('Cash flow Y2'!K19)*1.03</f>
        <v>34.333641475</v>
      </c>
      <c r="L19" s="62">
        <f>('Cash flow Y2'!L19)*1.03</f>
        <v>34.333641475</v>
      </c>
      <c r="M19" s="62">
        <f>('Cash flow Y2'!M19)*1.03</f>
        <v>34.333641475</v>
      </c>
      <c r="N19" s="62">
        <f t="shared" si="4"/>
        <v>412.00369769999992</v>
      </c>
    </row>
    <row r="20" spans="1:16" x14ac:dyDescent="0.25">
      <c r="A20" s="61" t="s">
        <v>44</v>
      </c>
      <c r="B20" s="62">
        <f>('Cash flow Y2'!B20)*1.03</f>
        <v>15.545102475</v>
      </c>
      <c r="C20" s="62">
        <f>('Cash flow Y2'!C20)*1.03</f>
        <v>15.545102475</v>
      </c>
      <c r="D20" s="62">
        <f>('Cash flow Y2'!D20)*1.03</f>
        <v>15.545102475</v>
      </c>
      <c r="E20" s="62">
        <f>('Cash flow Y2'!E20)*1.03</f>
        <v>15.545102475</v>
      </c>
      <c r="F20" s="62">
        <f>('Cash flow Y2'!F20)*1.03</f>
        <v>15.545102475</v>
      </c>
      <c r="G20" s="62">
        <f>('Cash flow Y2'!G20)*1.03</f>
        <v>15.545102475</v>
      </c>
      <c r="H20" s="62">
        <f>('Cash flow Y2'!H20)*1.03</f>
        <v>15.545102475</v>
      </c>
      <c r="I20" s="62">
        <f>('Cash flow Y2'!I20)*1.03</f>
        <v>15.545102475</v>
      </c>
      <c r="J20" s="62">
        <f>('Cash flow Y2'!J20)*1.03</f>
        <v>15.545102475</v>
      </c>
      <c r="K20" s="62">
        <f>('Cash flow Y2'!K20)*1.03</f>
        <v>15.545102475</v>
      </c>
      <c r="L20" s="62">
        <f>('Cash flow Y2'!L20)*1.03</f>
        <v>15.545102475</v>
      </c>
      <c r="M20" s="62">
        <f>('Cash flow Y2'!M20)*1.03</f>
        <v>15.545102475</v>
      </c>
      <c r="N20" s="62">
        <f t="shared" si="4"/>
        <v>186.54122969999995</v>
      </c>
    </row>
    <row r="21" spans="1:16" x14ac:dyDescent="0.25">
      <c r="A21" s="61" t="s">
        <v>45</v>
      </c>
      <c r="B21" s="62">
        <f>('Cash flow Y2'!B21)*1.03</f>
        <v>22.2789</v>
      </c>
      <c r="C21" s="62">
        <f>('Cash flow Y2'!C21)*1.03</f>
        <v>22.2789</v>
      </c>
      <c r="D21" s="62">
        <f>('Cash flow Y2'!D21)*1.03</f>
        <v>22.2789</v>
      </c>
      <c r="E21" s="62">
        <f>('Cash flow Y2'!E21)*1.03</f>
        <v>22.2789</v>
      </c>
      <c r="F21" s="62">
        <f>('Cash flow Y2'!F21)*1.03</f>
        <v>22.2789</v>
      </c>
      <c r="G21" s="62">
        <f>('Cash flow Y2'!G21)*1.03</f>
        <v>22.2789</v>
      </c>
      <c r="H21" s="62">
        <f>('Cash flow Y2'!H21)*1.03</f>
        <v>22.2789</v>
      </c>
      <c r="I21" s="62">
        <f>('Cash flow Y2'!I21)*1.03</f>
        <v>22.2789</v>
      </c>
      <c r="J21" s="62">
        <f>('Cash flow Y2'!J21)*1.03</f>
        <v>22.2789</v>
      </c>
      <c r="K21" s="62">
        <f>('Cash flow Y2'!K21)*1.03</f>
        <v>22.2789</v>
      </c>
      <c r="L21" s="62">
        <f>('Cash flow Y2'!L21)*1.03</f>
        <v>22.2789</v>
      </c>
      <c r="M21" s="62">
        <f>('Cash flow Y2'!M21)*1.03</f>
        <v>22.2789</v>
      </c>
      <c r="N21" s="62">
        <f t="shared" si="4"/>
        <v>267.34679999999997</v>
      </c>
    </row>
    <row r="22" spans="1:16" x14ac:dyDescent="0.25">
      <c r="A22" s="61" t="s">
        <v>46</v>
      </c>
      <c r="B22" s="62">
        <f>('Cash flow Y2'!B22)*1.03</f>
        <v>13.924312500000001</v>
      </c>
      <c r="C22" s="62">
        <f>('Cash flow Y2'!C22)*1.03</f>
        <v>13.924312500000001</v>
      </c>
      <c r="D22" s="62">
        <f>('Cash flow Y2'!D22)*1.03</f>
        <v>13.924312500000001</v>
      </c>
      <c r="E22" s="62">
        <f>('Cash flow Y2'!E22)*1.03</f>
        <v>13.924312500000001</v>
      </c>
      <c r="F22" s="62">
        <f>('Cash flow Y2'!F22)*1.03</f>
        <v>13.924312500000001</v>
      </c>
      <c r="G22" s="62">
        <f>('Cash flow Y2'!G22)*1.03</f>
        <v>13.924312500000001</v>
      </c>
      <c r="H22" s="62">
        <f>('Cash flow Y2'!H22)*1.03</f>
        <v>13.924312500000001</v>
      </c>
      <c r="I22" s="62">
        <f>('Cash flow Y2'!I22)*1.03</f>
        <v>13.924312500000001</v>
      </c>
      <c r="J22" s="62">
        <f>('Cash flow Y2'!J22)*1.03</f>
        <v>13.924312500000001</v>
      </c>
      <c r="K22" s="62">
        <f>('Cash flow Y2'!K22)*1.03</f>
        <v>13.924312500000001</v>
      </c>
      <c r="L22" s="62">
        <f>('Cash flow Y2'!L22)*1.03</f>
        <v>13.924312500000001</v>
      </c>
      <c r="M22" s="62">
        <f>('Cash flow Y2'!M22)*1.03</f>
        <v>13.924312500000001</v>
      </c>
      <c r="N22" s="62">
        <f t="shared" si="4"/>
        <v>167.09175000000005</v>
      </c>
    </row>
    <row r="23" spans="1:16" x14ac:dyDescent="0.25">
      <c r="A23" s="61" t="s">
        <v>47</v>
      </c>
      <c r="B23" s="62">
        <f>('Cash flow Y2'!B23)*1.03</f>
        <v>247.54333333333335</v>
      </c>
      <c r="C23" s="62">
        <f>('Cash flow Y2'!C23)*1.03</f>
        <v>247.54333333333335</v>
      </c>
      <c r="D23" s="62">
        <f>('Cash flow Y2'!D23)*1.03</f>
        <v>247.54333333333335</v>
      </c>
      <c r="E23" s="62">
        <f>('Cash flow Y2'!E23)*1.03</f>
        <v>247.54333333333335</v>
      </c>
      <c r="F23" s="62">
        <f>('Cash flow Y2'!F23)*1.03</f>
        <v>247.54333333333335</v>
      </c>
      <c r="G23" s="62">
        <f>('Cash flow Y2'!G23)*1.03</f>
        <v>247.54333333333335</v>
      </c>
      <c r="H23" s="62">
        <f>('Cash flow Y2'!H23)*1.03</f>
        <v>247.54333333333335</v>
      </c>
      <c r="I23" s="62">
        <f>('Cash flow Y2'!I23)*1.03</f>
        <v>247.54333333333335</v>
      </c>
      <c r="J23" s="62">
        <f>('Cash flow Y2'!J23)*1.03</f>
        <v>247.54333333333335</v>
      </c>
      <c r="K23" s="62">
        <f>('Cash flow Y2'!K23)*1.03</f>
        <v>247.54333333333335</v>
      </c>
      <c r="L23" s="62">
        <f>('Cash flow Y2'!L23)*1.03</f>
        <v>247.54333333333335</v>
      </c>
      <c r="M23" s="62">
        <f>('Cash flow Y2'!M23)*1.03</f>
        <v>247.54333333333335</v>
      </c>
      <c r="N23" s="62">
        <f t="shared" si="4"/>
        <v>2970.5200000000004</v>
      </c>
    </row>
    <row r="24" spans="1:16" x14ac:dyDescent="0.25">
      <c r="A24" s="61" t="s">
        <v>48</v>
      </c>
      <c r="B24" s="62">
        <f>('Cash flow Y2'!B24)*1.03</f>
        <v>22.2789</v>
      </c>
      <c r="C24" s="62">
        <f>('Cash flow Y2'!C24)*1.03</f>
        <v>22.2789</v>
      </c>
      <c r="D24" s="62">
        <f>('Cash flow Y2'!D24)*1.03</f>
        <v>22.2789</v>
      </c>
      <c r="E24" s="62">
        <f>('Cash flow Y2'!E24)*1.03</f>
        <v>22.2789</v>
      </c>
      <c r="F24" s="62">
        <f>('Cash flow Y2'!F24)*1.03</f>
        <v>22.2789</v>
      </c>
      <c r="G24" s="62">
        <f>('Cash flow Y2'!G24)*1.03</f>
        <v>22.2789</v>
      </c>
      <c r="H24" s="62">
        <f>('Cash flow Y2'!H24)*1.03</f>
        <v>22.2789</v>
      </c>
      <c r="I24" s="62">
        <f>('Cash flow Y2'!I24)*1.03</f>
        <v>22.2789</v>
      </c>
      <c r="J24" s="62">
        <f>('Cash flow Y2'!J24)*1.03</f>
        <v>22.2789</v>
      </c>
      <c r="K24" s="62">
        <f>('Cash flow Y2'!K24)*1.03</f>
        <v>22.2789</v>
      </c>
      <c r="L24" s="62">
        <f>('Cash flow Y2'!L24)*1.03</f>
        <v>22.2789</v>
      </c>
      <c r="M24" s="62">
        <f>('Cash flow Y2'!M24)*1.03</f>
        <v>22.2789</v>
      </c>
      <c r="N24" s="62">
        <f t="shared" si="4"/>
        <v>267.34679999999997</v>
      </c>
    </row>
    <row r="25" spans="1:16" x14ac:dyDescent="0.25">
      <c r="A25" s="61" t="s">
        <v>49</v>
      </c>
      <c r="B25" s="62">
        <f>('Cash flow Y2'!B25)*1.03</f>
        <v>44.204166666666666</v>
      </c>
      <c r="C25" s="62">
        <f>('Cash flow Y2'!C25)*1.03</f>
        <v>44.204166666666666</v>
      </c>
      <c r="D25" s="62">
        <f>('Cash flow Y2'!D25)*1.03</f>
        <v>44.204166666666666</v>
      </c>
      <c r="E25" s="62">
        <f>('Cash flow Y2'!E25)*1.03</f>
        <v>44.204166666666666</v>
      </c>
      <c r="F25" s="62">
        <f>('Cash flow Y2'!F25)*1.03</f>
        <v>44.204166666666666</v>
      </c>
      <c r="G25" s="62">
        <f>('Cash flow Y2'!G25)*1.03</f>
        <v>44.204166666666666</v>
      </c>
      <c r="H25" s="62">
        <f>('Cash flow Y2'!H25)*1.03</f>
        <v>44.204166666666666</v>
      </c>
      <c r="I25" s="62">
        <f>('Cash flow Y2'!I25)*1.03</f>
        <v>44.204166666666666</v>
      </c>
      <c r="J25" s="62">
        <f>('Cash flow Y2'!J25)*1.03</f>
        <v>44.204166666666666</v>
      </c>
      <c r="K25" s="62">
        <f>('Cash flow Y2'!K25)*1.03</f>
        <v>44.204166666666666</v>
      </c>
      <c r="L25" s="62">
        <f>('Cash flow Y2'!L25)*1.03</f>
        <v>44.204166666666666</v>
      </c>
      <c r="M25" s="62">
        <f>('Cash flow Y2'!M25)*1.03</f>
        <v>44.204166666666666</v>
      </c>
      <c r="N25" s="62">
        <f t="shared" si="4"/>
        <v>530.44999999999993</v>
      </c>
    </row>
    <row r="26" spans="1:16" x14ac:dyDescent="0.25">
      <c r="A26" s="61" t="s">
        <v>50</v>
      </c>
      <c r="B26" s="62">
        <f>('Cash flow Y2'!B26)*1.03</f>
        <v>0.44204166666666672</v>
      </c>
      <c r="C26" s="62">
        <f>('Cash flow Y2'!C26)*1.03</f>
        <v>0.44204166666666672</v>
      </c>
      <c r="D26" s="62">
        <f>('Cash flow Y2'!D26)*1.03</f>
        <v>0.44204166666666672</v>
      </c>
      <c r="E26" s="62">
        <f>('Cash flow Y2'!E26)*1.03</f>
        <v>0.44204166666666672</v>
      </c>
      <c r="F26" s="62">
        <f>('Cash flow Y2'!F26)*1.03</f>
        <v>0.44204166666666672</v>
      </c>
      <c r="G26" s="62">
        <f>('Cash flow Y2'!G26)*1.03</f>
        <v>0.44204166666666672</v>
      </c>
      <c r="H26" s="62">
        <f>('Cash flow Y2'!H26)*1.03</f>
        <v>0.44204166666666672</v>
      </c>
      <c r="I26" s="62">
        <f>('Cash flow Y2'!I26)*1.03</f>
        <v>0.44204166666666672</v>
      </c>
      <c r="J26" s="62">
        <f>('Cash flow Y2'!J26)*1.03</f>
        <v>0.44204166666666672</v>
      </c>
      <c r="K26" s="62">
        <f>('Cash flow Y2'!K26)*1.03</f>
        <v>0.44204166666666672</v>
      </c>
      <c r="L26" s="62">
        <f>('Cash flow Y2'!L26)*1.03</f>
        <v>0.44204166666666672</v>
      </c>
      <c r="M26" s="62">
        <f>('Cash flow Y2'!M26)*1.03</f>
        <v>0.44204166666666672</v>
      </c>
      <c r="N26" s="62">
        <f t="shared" si="4"/>
        <v>5.3045000000000009</v>
      </c>
    </row>
    <row r="27" spans="1:16" x14ac:dyDescent="0.25">
      <c r="A27" s="61" t="s">
        <v>51</v>
      </c>
      <c r="B27" s="62">
        <f>('Cash flow Y2'!B27)*1.03</f>
        <v>35.646240000000006</v>
      </c>
      <c r="C27" s="62">
        <f>('Cash flow Y2'!C27)*1.03</f>
        <v>35.646240000000006</v>
      </c>
      <c r="D27" s="62">
        <f>('Cash flow Y2'!D27)*1.03</f>
        <v>35.646240000000006</v>
      </c>
      <c r="E27" s="62">
        <f>('Cash flow Y2'!E27)*1.03</f>
        <v>35.646240000000006</v>
      </c>
      <c r="F27" s="62">
        <f>('Cash flow Y2'!F27)*1.03</f>
        <v>35.646240000000006</v>
      </c>
      <c r="G27" s="62">
        <f>('Cash flow Y2'!G27)*1.03</f>
        <v>35.646240000000006</v>
      </c>
      <c r="H27" s="62">
        <f>('Cash flow Y2'!H27)*1.03</f>
        <v>35.646240000000006</v>
      </c>
      <c r="I27" s="62">
        <f>('Cash flow Y2'!I27)*1.03</f>
        <v>35.646240000000006</v>
      </c>
      <c r="J27" s="62">
        <f>('Cash flow Y2'!J27)*1.03</f>
        <v>35.646240000000006</v>
      </c>
      <c r="K27" s="62">
        <f>('Cash flow Y2'!K27)*1.03</f>
        <v>35.646240000000006</v>
      </c>
      <c r="L27" s="62">
        <f>('Cash flow Y2'!L27)*1.03</f>
        <v>35.646240000000006</v>
      </c>
      <c r="M27" s="62">
        <f>('Cash flow Y2'!M27)*1.03</f>
        <v>35.646240000000006</v>
      </c>
      <c r="N27" s="62">
        <f t="shared" si="4"/>
        <v>427.75488000000018</v>
      </c>
    </row>
    <row r="28" spans="1:16" x14ac:dyDescent="0.25">
      <c r="A28" s="61" t="s">
        <v>52</v>
      </c>
      <c r="B28" s="62">
        <f>('Cash flow Y2'!B28)*1.03</f>
        <v>21.218000000000004</v>
      </c>
      <c r="C28" s="62">
        <f>('Cash flow Y2'!C28)*1.03</f>
        <v>21.218000000000004</v>
      </c>
      <c r="D28" s="62">
        <f>('Cash flow Y2'!D28)*1.03</f>
        <v>21.218000000000004</v>
      </c>
      <c r="E28" s="62">
        <f>('Cash flow Y2'!E28)*1.03</f>
        <v>21.218000000000004</v>
      </c>
      <c r="F28" s="62">
        <f>('Cash flow Y2'!F28)*1.03</f>
        <v>21.218000000000004</v>
      </c>
      <c r="G28" s="62">
        <f>('Cash flow Y2'!G28)*1.03</f>
        <v>21.218000000000004</v>
      </c>
      <c r="H28" s="62">
        <f>('Cash flow Y2'!H28)*1.03</f>
        <v>21.218000000000004</v>
      </c>
      <c r="I28" s="62">
        <f>('Cash flow Y2'!I28)*1.03</f>
        <v>21.218000000000004</v>
      </c>
      <c r="J28" s="62">
        <f>('Cash flow Y2'!J28)*1.03</f>
        <v>21.218000000000004</v>
      </c>
      <c r="K28" s="62">
        <f>('Cash flow Y2'!K28)*1.03</f>
        <v>21.218000000000004</v>
      </c>
      <c r="L28" s="62">
        <f>('Cash flow Y2'!L28)*1.03</f>
        <v>21.218000000000004</v>
      </c>
      <c r="M28" s="62">
        <f>('Cash flow Y2'!M28)*1.03</f>
        <v>21.218000000000004</v>
      </c>
      <c r="N28" s="62">
        <f t="shared" si="4"/>
        <v>254.6160000000001</v>
      </c>
    </row>
    <row r="29" spans="1:16" x14ac:dyDescent="0.25">
      <c r="A29" s="61" t="s">
        <v>53</v>
      </c>
      <c r="B29" s="62">
        <f>('Cash flow Y2'!B29)*1.03</f>
        <v>8.7955240625000002</v>
      </c>
      <c r="C29" s="62">
        <f>('Cash flow Y2'!C29)*1.03</f>
        <v>8.7955240625000002</v>
      </c>
      <c r="D29" s="62">
        <f>('Cash flow Y2'!D29)*1.03</f>
        <v>8.7955240625000002</v>
      </c>
      <c r="E29" s="62">
        <f>('Cash flow Y2'!E29)*1.03</f>
        <v>8.7955240625000002</v>
      </c>
      <c r="F29" s="62">
        <f>('Cash flow Y2'!F29)*1.03</f>
        <v>8.7955240625000002</v>
      </c>
      <c r="G29" s="62">
        <f>('Cash flow Y2'!G29)*1.03</f>
        <v>8.7955240625000002</v>
      </c>
      <c r="H29" s="62">
        <f>('Cash flow Y2'!H29)*1.03</f>
        <v>8.7955240625000002</v>
      </c>
      <c r="I29" s="62">
        <f>('Cash flow Y2'!I29)*1.03</f>
        <v>8.7955240625000002</v>
      </c>
      <c r="J29" s="62">
        <f>('Cash flow Y2'!J29)*1.03</f>
        <v>8.7955240625000002</v>
      </c>
      <c r="K29" s="62">
        <f>('Cash flow Y2'!K29)*1.03</f>
        <v>8.7955240625000002</v>
      </c>
      <c r="L29" s="62">
        <f>('Cash flow Y2'!L29)*1.03</f>
        <v>8.7955240625000002</v>
      </c>
      <c r="M29" s="62">
        <f>('Cash flow Y2'!M29)*1.03</f>
        <v>8.7955240625000002</v>
      </c>
      <c r="N29" s="62">
        <f t="shared" si="4"/>
        <v>105.54628874999997</v>
      </c>
    </row>
    <row r="30" spans="1:16" x14ac:dyDescent="0.25">
      <c r="A30" s="61" t="s">
        <v>54</v>
      </c>
      <c r="B30" s="62">
        <f>('Cash flow Y2'!B30)*1.03</f>
        <v>8.3824361250000017</v>
      </c>
      <c r="C30" s="62">
        <f>('Cash flow Y2'!C30)*1.03</f>
        <v>8.3824361250000017</v>
      </c>
      <c r="D30" s="62">
        <f>('Cash flow Y2'!D30)*1.03</f>
        <v>8.3824361250000017</v>
      </c>
      <c r="E30" s="62">
        <f>('Cash flow Y2'!E30)*1.03</f>
        <v>8.3824361250000017</v>
      </c>
      <c r="F30" s="62">
        <f>('Cash flow Y2'!F30)*1.03</f>
        <v>8.3824361250000017</v>
      </c>
      <c r="G30" s="62">
        <f>('Cash flow Y2'!G30)*1.03</f>
        <v>8.3824361250000017</v>
      </c>
      <c r="H30" s="62">
        <f>('Cash flow Y2'!H30)*1.03</f>
        <v>8.3824361250000017</v>
      </c>
      <c r="I30" s="62">
        <f>('Cash flow Y2'!I30)*1.03</f>
        <v>8.3824361250000017</v>
      </c>
      <c r="J30" s="62">
        <f>('Cash flow Y2'!J30)*1.03</f>
        <v>8.3824361250000017</v>
      </c>
      <c r="K30" s="62">
        <f>('Cash flow Y2'!K30)*1.03</f>
        <v>8.3824361250000017</v>
      </c>
      <c r="L30" s="62">
        <f>('Cash flow Y2'!L30)*1.03</f>
        <v>8.3824361250000017</v>
      </c>
      <c r="M30" s="62">
        <f>('Cash flow Y2'!M30)*1.03</f>
        <v>8.3824361250000017</v>
      </c>
      <c r="N30" s="62">
        <f t="shared" si="4"/>
        <v>100.58923349999999</v>
      </c>
    </row>
    <row r="31" spans="1:16" ht="1.5" customHeight="1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6" x14ac:dyDescent="0.25">
      <c r="A32" s="41" t="s">
        <v>59</v>
      </c>
      <c r="B32" s="15">
        <f t="shared" ref="B32:M32" si="5">SUM(B15:B30)</f>
        <v>4927.0753812218336</v>
      </c>
      <c r="C32" s="15">
        <f t="shared" si="5"/>
        <v>4927.0753812218336</v>
      </c>
      <c r="D32" s="15">
        <f t="shared" si="5"/>
        <v>4927.0753812218336</v>
      </c>
      <c r="E32" s="15">
        <f t="shared" si="5"/>
        <v>4927.0753812218336</v>
      </c>
      <c r="F32" s="15">
        <f t="shared" si="5"/>
        <v>4927.0753812218336</v>
      </c>
      <c r="G32" s="15">
        <f t="shared" si="5"/>
        <v>4927.0753812218336</v>
      </c>
      <c r="H32" s="15">
        <f t="shared" si="5"/>
        <v>4927.0753812218336</v>
      </c>
      <c r="I32" s="15">
        <f t="shared" si="5"/>
        <v>4927.0753812218336</v>
      </c>
      <c r="J32" s="15">
        <f t="shared" si="5"/>
        <v>4927.0753812218336</v>
      </c>
      <c r="K32" s="15">
        <f t="shared" si="5"/>
        <v>4927.0753812218336</v>
      </c>
      <c r="L32" s="15">
        <f t="shared" si="5"/>
        <v>4927.0753812218336</v>
      </c>
      <c r="M32" s="15">
        <f t="shared" si="5"/>
        <v>4927.0753812218336</v>
      </c>
      <c r="N32" s="15">
        <f>SUM(B32:M32)</f>
        <v>59124.904574661989</v>
      </c>
      <c r="O32" s="61" t="s">
        <v>165</v>
      </c>
      <c r="P32" s="62"/>
    </row>
    <row r="34" spans="1:15" x14ac:dyDescent="0.25">
      <c r="A34" s="61" t="s">
        <v>65</v>
      </c>
      <c r="B34" s="62">
        <f t="shared" ref="B34:M34" si="6">SUM(B11-B32)</f>
        <v>275.62461877816713</v>
      </c>
      <c r="C34" s="62">
        <f t="shared" si="6"/>
        <v>275.62461877816713</v>
      </c>
      <c r="D34" s="62">
        <f t="shared" si="6"/>
        <v>275.62461877816713</v>
      </c>
      <c r="E34" s="62">
        <f t="shared" si="6"/>
        <v>275.62461877816713</v>
      </c>
      <c r="F34" s="62">
        <f t="shared" si="6"/>
        <v>1432.5496187781673</v>
      </c>
      <c r="G34" s="62">
        <f t="shared" si="6"/>
        <v>475.62461877816713</v>
      </c>
      <c r="H34" s="62">
        <f t="shared" si="6"/>
        <v>-1836.362881221834</v>
      </c>
      <c r="I34" s="62">
        <f t="shared" si="6"/>
        <v>-2139.5053812218339</v>
      </c>
      <c r="J34" s="62">
        <f t="shared" si="6"/>
        <v>1432.5496187781673</v>
      </c>
      <c r="K34" s="62">
        <f t="shared" si="6"/>
        <v>275.62461877816713</v>
      </c>
      <c r="L34" s="62">
        <f t="shared" si="6"/>
        <v>275.62461877816713</v>
      </c>
      <c r="M34" s="62">
        <f t="shared" si="6"/>
        <v>1432.5496187781673</v>
      </c>
      <c r="N34" s="62">
        <f>SUM(B34:M34)</f>
        <v>2451.152925338004</v>
      </c>
    </row>
    <row r="37" spans="1:15" x14ac:dyDescent="0.25">
      <c r="N37" s="62">
        <f>N5+N6+N7</f>
        <v>45076.057500000003</v>
      </c>
      <c r="O37" s="61" t="s">
        <v>166</v>
      </c>
    </row>
    <row r="38" spans="1:15" x14ac:dyDescent="0.25">
      <c r="N38" s="23">
        <f>N37/N11</f>
        <v>0.73203870676520666</v>
      </c>
      <c r="O38" s="61" t="s">
        <v>167</v>
      </c>
    </row>
    <row r="39" spans="1:15" x14ac:dyDescent="0.25">
      <c r="N39" s="62">
        <f>N37-N32</f>
        <v>-14048.847074661986</v>
      </c>
      <c r="O39" s="61" t="s">
        <v>168</v>
      </c>
    </row>
  </sheetData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M2" sqref="M2"/>
    </sheetView>
  </sheetViews>
  <sheetFormatPr defaultRowHeight="15" x14ac:dyDescent="0.25"/>
  <cols>
    <col min="1" max="1" width="44.85546875" style="61" customWidth="1"/>
    <col min="2" max="2" width="12.42578125" style="61" customWidth="1"/>
    <col min="3" max="3" width="10.7109375" style="61" customWidth="1"/>
    <col min="4" max="4" width="11" style="61" customWidth="1"/>
    <col min="5" max="5" width="10.5703125" style="61" customWidth="1"/>
    <col min="6" max="6" width="10.5703125" style="61" bestFit="1" customWidth="1"/>
    <col min="7" max="7" width="10.5703125" style="61" customWidth="1"/>
    <col min="8" max="8" width="9.85546875" style="61" bestFit="1" customWidth="1"/>
    <col min="9" max="9" width="10.140625" style="61" bestFit="1" customWidth="1"/>
    <col min="10" max="10" width="10.5703125" style="61" bestFit="1" customWidth="1"/>
    <col min="11" max="12" width="9.85546875" style="61" bestFit="1" customWidth="1"/>
    <col min="13" max="13" width="10.5703125" style="61" bestFit="1" customWidth="1"/>
    <col min="14" max="14" width="11.5703125" style="61" bestFit="1" customWidth="1"/>
    <col min="15" max="15" width="9.140625" style="61"/>
    <col min="16" max="16" width="10.85546875" style="61" bestFit="1" customWidth="1"/>
    <col min="17" max="16384" width="9.140625" style="61"/>
  </cols>
  <sheetData>
    <row r="1" spans="1:16" x14ac:dyDescent="0.25">
      <c r="B1" s="22" t="s">
        <v>151</v>
      </c>
      <c r="C1" s="22" t="s">
        <v>154</v>
      </c>
      <c r="D1" s="22" t="s">
        <v>155</v>
      </c>
      <c r="E1" s="22" t="s">
        <v>152</v>
      </c>
      <c r="F1" s="22" t="s">
        <v>153</v>
      </c>
      <c r="G1" s="22" t="s">
        <v>156</v>
      </c>
      <c r="H1" s="22" t="s">
        <v>157</v>
      </c>
      <c r="I1" s="22" t="s">
        <v>158</v>
      </c>
      <c r="J1" s="22" t="s">
        <v>159</v>
      </c>
      <c r="K1" s="22" t="s">
        <v>160</v>
      </c>
      <c r="L1" s="22" t="s">
        <v>161</v>
      </c>
      <c r="M1" s="22" t="s">
        <v>162</v>
      </c>
      <c r="N1" s="41" t="s">
        <v>59</v>
      </c>
    </row>
    <row r="2" spans="1:16" x14ac:dyDescent="0.25">
      <c r="A2" s="61" t="s">
        <v>67</v>
      </c>
      <c r="B2" s="62">
        <f>'Cash flow Y3'!B2*1.03</f>
        <v>956.15415000000007</v>
      </c>
      <c r="C2" s="62">
        <f>'Cash flow Y3'!C2*1.03</f>
        <v>956.15415000000007</v>
      </c>
      <c r="D2" s="62">
        <f>'Cash flow Y3'!D2*1.03</f>
        <v>956.15415000000007</v>
      </c>
      <c r="E2" s="62">
        <f>'Cash flow Y3'!E2*1.03</f>
        <v>956.15415000000007</v>
      </c>
      <c r="F2" s="62">
        <f>'Cash flow Y3'!F2*1.03</f>
        <v>956.15415000000007</v>
      </c>
      <c r="G2" s="62">
        <f>'Cash flow Y3'!G2*1.03</f>
        <v>956.15415000000007</v>
      </c>
      <c r="H2" s="62">
        <f>'Cash flow Y3'!H2*1.03</f>
        <v>282.75817499999999</v>
      </c>
      <c r="I2" s="62">
        <f>'Cash flow Y3'!I2*1.03</f>
        <v>282.75817499999999</v>
      </c>
      <c r="J2" s="62">
        <f>'Cash flow Y3'!J2*1.03</f>
        <v>956.15415000000007</v>
      </c>
      <c r="K2" s="62">
        <f>'Cash flow Y3'!K2*1.03</f>
        <v>956.15415000000007</v>
      </c>
      <c r="L2" s="62">
        <f>'Cash flow Y3'!L2*1.03</f>
        <v>956.15415000000007</v>
      </c>
      <c r="M2" s="62">
        <f>'Cash flow Y3'!M2*1.03</f>
        <v>956.15415000000007</v>
      </c>
      <c r="N2" s="18"/>
      <c r="O2" s="61" t="s">
        <v>163</v>
      </c>
    </row>
    <row r="3" spans="1:16" x14ac:dyDescent="0.25">
      <c r="A3" s="61" t="s">
        <v>139</v>
      </c>
      <c r="B3" s="18">
        <v>4</v>
      </c>
      <c r="C3" s="18">
        <v>4</v>
      </c>
      <c r="D3" s="18">
        <v>4</v>
      </c>
      <c r="E3" s="18">
        <v>4</v>
      </c>
      <c r="F3" s="18">
        <v>5</v>
      </c>
      <c r="G3" s="18">
        <v>4</v>
      </c>
      <c r="H3" s="18">
        <v>5</v>
      </c>
      <c r="I3" s="18">
        <v>4</v>
      </c>
      <c r="J3" s="18">
        <v>5</v>
      </c>
      <c r="K3" s="18">
        <v>4</v>
      </c>
      <c r="L3" s="18">
        <v>4</v>
      </c>
      <c r="M3" s="18">
        <v>5</v>
      </c>
      <c r="N3" s="18"/>
    </row>
    <row r="4" spans="1:1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6" x14ac:dyDescent="0.25">
      <c r="A5" s="61" t="s">
        <v>61</v>
      </c>
      <c r="B5" s="62">
        <f>B2*B3</f>
        <v>3824.6166000000003</v>
      </c>
      <c r="C5" s="62">
        <f t="shared" ref="C5:M5" si="0">C2*C3</f>
        <v>3824.6166000000003</v>
      </c>
      <c r="D5" s="62">
        <f t="shared" si="0"/>
        <v>3824.6166000000003</v>
      </c>
      <c r="E5" s="62">
        <f t="shared" si="0"/>
        <v>3824.6166000000003</v>
      </c>
      <c r="F5" s="62">
        <f t="shared" si="0"/>
        <v>4780.7707500000006</v>
      </c>
      <c r="G5" s="62">
        <f t="shared" si="0"/>
        <v>3824.6166000000003</v>
      </c>
      <c r="H5" s="62">
        <f t="shared" si="0"/>
        <v>1413.7908749999999</v>
      </c>
      <c r="I5" s="62">
        <f t="shared" si="0"/>
        <v>1131.0327</v>
      </c>
      <c r="J5" s="62">
        <f t="shared" si="0"/>
        <v>4780.7707500000006</v>
      </c>
      <c r="K5" s="62">
        <f t="shared" si="0"/>
        <v>3824.6166000000003</v>
      </c>
      <c r="L5" s="62">
        <f t="shared" si="0"/>
        <v>3824.6166000000003</v>
      </c>
      <c r="M5" s="62">
        <f t="shared" si="0"/>
        <v>4780.7707500000006</v>
      </c>
      <c r="N5" s="62">
        <f>SUM(B5:M5)</f>
        <v>43659.452025000006</v>
      </c>
    </row>
    <row r="6" spans="1:16" x14ac:dyDescent="0.25">
      <c r="A6" s="61" t="s">
        <v>142</v>
      </c>
      <c r="B6" s="61">
        <f>'Other income'!$F$7*'Cash flow Y4'!B3</f>
        <v>114.47999999999999</v>
      </c>
      <c r="C6" s="61">
        <f>'Other income'!$F$7*'Cash flow Y4'!C3</f>
        <v>114.47999999999999</v>
      </c>
      <c r="D6" s="61">
        <f>'Other income'!$F$7*'Cash flow Y4'!D3</f>
        <v>114.47999999999999</v>
      </c>
      <c r="E6" s="61">
        <f>'Other income'!$F$7*'Cash flow Y4'!E3</f>
        <v>114.47999999999999</v>
      </c>
      <c r="F6" s="61">
        <f>'Other income'!$F$7*'Cash flow Y4'!F3</f>
        <v>143.1</v>
      </c>
      <c r="G6" s="40">
        <f>('Other income'!$F$7*'Cash flow Y4'!G3)</f>
        <v>114.47999999999999</v>
      </c>
      <c r="H6" s="61">
        <f>'Other income'!$F$7*'Cash flow Y4'!H3</f>
        <v>143.1</v>
      </c>
      <c r="I6" s="61">
        <f>'Other income'!$F$7*'Cash flow Y4'!I3</f>
        <v>114.47999999999999</v>
      </c>
      <c r="J6" s="61">
        <f>'Other income'!$F$7*'Cash flow Y4'!J3</f>
        <v>143.1</v>
      </c>
      <c r="K6" s="40">
        <f>('Other income'!$F$7*'Cash flow Y4'!K3)</f>
        <v>114.47999999999999</v>
      </c>
      <c r="L6" s="61">
        <f>'Other income'!$F$7*'Cash flow Y4'!L3</f>
        <v>114.47999999999999</v>
      </c>
      <c r="M6" s="61">
        <f>'Other income'!$F$7*'Cash flow Y4'!M3</f>
        <v>143.1</v>
      </c>
      <c r="N6" s="62">
        <f>SUM(B6:M6)</f>
        <v>1488.24</v>
      </c>
      <c r="O6" s="61" t="s">
        <v>164</v>
      </c>
      <c r="P6" s="62"/>
    </row>
    <row r="7" spans="1:16" x14ac:dyDescent="0.25">
      <c r="A7" s="61" t="s">
        <v>141</v>
      </c>
      <c r="B7" s="62">
        <v>0</v>
      </c>
      <c r="C7" s="62">
        <v>0</v>
      </c>
      <c r="D7" s="62">
        <v>0</v>
      </c>
      <c r="E7" s="62">
        <v>0</v>
      </c>
      <c r="F7" s="62">
        <v>200</v>
      </c>
      <c r="G7" s="62">
        <v>200</v>
      </c>
      <c r="H7" s="62">
        <v>200</v>
      </c>
      <c r="I7" s="62">
        <v>200</v>
      </c>
      <c r="J7" s="62">
        <v>200</v>
      </c>
      <c r="K7" s="62">
        <v>0</v>
      </c>
      <c r="L7" s="62">
        <v>0</v>
      </c>
      <c r="M7" s="62">
        <v>200</v>
      </c>
      <c r="N7" s="62">
        <f>SUM(B7:M7)</f>
        <v>1200</v>
      </c>
    </row>
    <row r="8" spans="1:16" x14ac:dyDescent="0.25">
      <c r="A8" s="61" t="s">
        <v>66</v>
      </c>
      <c r="B8" s="62">
        <f>Grants!$D$6/12</f>
        <v>1375</v>
      </c>
      <c r="C8" s="62">
        <f>Grants!$D$6/12</f>
        <v>1375</v>
      </c>
      <c r="D8" s="62">
        <f>Grants!$D$6/12</f>
        <v>1375</v>
      </c>
      <c r="E8" s="62">
        <f>Grants!$D$6/12</f>
        <v>1375</v>
      </c>
      <c r="F8" s="62">
        <f>Grants!$D$6/12</f>
        <v>1375</v>
      </c>
      <c r="G8" s="62">
        <f>Grants!$D$6/12</f>
        <v>1375</v>
      </c>
      <c r="H8" s="62">
        <f>Grants!$D$6/12</f>
        <v>1375</v>
      </c>
      <c r="I8" s="62">
        <f>Grants!$D$6/12</f>
        <v>1375</v>
      </c>
      <c r="J8" s="62">
        <f>Grants!$D$6/12</f>
        <v>1375</v>
      </c>
      <c r="K8" s="62">
        <f>Grants!$D$6/12</f>
        <v>1375</v>
      </c>
      <c r="L8" s="62">
        <f>Grants!$D$6/12</f>
        <v>1375</v>
      </c>
      <c r="M8" s="62">
        <f>Grants!$D$6/12</f>
        <v>1375</v>
      </c>
      <c r="N8" s="62">
        <f>SUM(B8:M8)</f>
        <v>16500</v>
      </c>
    </row>
    <row r="9" spans="1:16" x14ac:dyDescent="0.25">
      <c r="A9" s="61" t="s">
        <v>62</v>
      </c>
      <c r="B9" s="62">
        <f>Grants!$D$2/12</f>
        <v>0</v>
      </c>
      <c r="C9" s="62">
        <f>Grants!$D$2/12</f>
        <v>0</v>
      </c>
      <c r="D9" s="62">
        <f>Grants!$D$2/12</f>
        <v>0</v>
      </c>
      <c r="E9" s="62">
        <f>Grants!$D$2/12</f>
        <v>0</v>
      </c>
      <c r="F9" s="62">
        <f>Grants!$D$2/12</f>
        <v>0</v>
      </c>
      <c r="G9" s="62">
        <f>Grants!$D$2/12</f>
        <v>0</v>
      </c>
      <c r="H9" s="62">
        <f>Grants!$D$2/12</f>
        <v>0</v>
      </c>
      <c r="I9" s="62">
        <f>Grants!$D$2/12</f>
        <v>0</v>
      </c>
      <c r="J9" s="62">
        <f>Grants!$D$2/12</f>
        <v>0</v>
      </c>
      <c r="K9" s="62">
        <f>Grants!$D$2/12</f>
        <v>0</v>
      </c>
      <c r="L9" s="62">
        <f>Grants!$D$2/12</f>
        <v>0</v>
      </c>
      <c r="M9" s="62">
        <f>Grants!$D$2/12</f>
        <v>0</v>
      </c>
      <c r="N9" s="62">
        <f>SUM(B9:M9)</f>
        <v>0</v>
      </c>
    </row>
    <row r="10" spans="1:16" x14ac:dyDescent="0.2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x14ac:dyDescent="0.25">
      <c r="A11" s="41" t="s">
        <v>59</v>
      </c>
      <c r="B11" s="15">
        <f t="shared" ref="B11:M11" si="1">SUM(B5:B9)</f>
        <v>5314.0966000000008</v>
      </c>
      <c r="C11" s="15">
        <f t="shared" si="1"/>
        <v>5314.0966000000008</v>
      </c>
      <c r="D11" s="15">
        <f t="shared" si="1"/>
        <v>5314.0966000000008</v>
      </c>
      <c r="E11" s="15">
        <f t="shared" si="1"/>
        <v>5314.0966000000008</v>
      </c>
      <c r="F11" s="15">
        <f t="shared" si="1"/>
        <v>6498.870750000001</v>
      </c>
      <c r="G11" s="15">
        <f t="shared" si="1"/>
        <v>5514.0966000000008</v>
      </c>
      <c r="H11" s="15">
        <f t="shared" si="1"/>
        <v>3131.8908750000001</v>
      </c>
      <c r="I11" s="15">
        <f t="shared" si="1"/>
        <v>2820.5127000000002</v>
      </c>
      <c r="J11" s="15">
        <f t="shared" si="1"/>
        <v>6498.870750000001</v>
      </c>
      <c r="K11" s="15">
        <f t="shared" si="1"/>
        <v>5314.0966000000008</v>
      </c>
      <c r="L11" s="15">
        <f t="shared" si="1"/>
        <v>5314.0966000000008</v>
      </c>
      <c r="M11" s="15">
        <f t="shared" si="1"/>
        <v>6498.870750000001</v>
      </c>
      <c r="N11" s="15">
        <f>SUM(B11:M11)</f>
        <v>62847.692025000011</v>
      </c>
    </row>
    <row r="12" spans="1:16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6" x14ac:dyDescent="0.25">
      <c r="A13" s="41" t="s">
        <v>63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20"/>
    </row>
    <row r="14" spans="1:16" x14ac:dyDescent="0.2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5" t="s">
        <v>59</v>
      </c>
    </row>
    <row r="15" spans="1:16" x14ac:dyDescent="0.25">
      <c r="A15" s="61" t="s">
        <v>138</v>
      </c>
      <c r="B15" s="62">
        <f>'Cash flow Y3'!B15*1.03</f>
        <v>4305.8746876979476</v>
      </c>
      <c r="C15" s="62">
        <f>B15</f>
        <v>4305.8746876979476</v>
      </c>
      <c r="D15" s="62">
        <f t="shared" ref="D15:M15" si="2">C15</f>
        <v>4305.8746876979476</v>
      </c>
      <c r="E15" s="62">
        <f t="shared" si="2"/>
        <v>4305.8746876979476</v>
      </c>
      <c r="F15" s="62">
        <f t="shared" si="2"/>
        <v>4305.8746876979476</v>
      </c>
      <c r="G15" s="62">
        <f t="shared" si="2"/>
        <v>4305.8746876979476</v>
      </c>
      <c r="H15" s="62">
        <f t="shared" si="2"/>
        <v>4305.8746876979476</v>
      </c>
      <c r="I15" s="62">
        <f t="shared" si="2"/>
        <v>4305.8746876979476</v>
      </c>
      <c r="J15" s="62">
        <f t="shared" si="2"/>
        <v>4305.8746876979476</v>
      </c>
      <c r="K15" s="62">
        <f t="shared" si="2"/>
        <v>4305.8746876979476</v>
      </c>
      <c r="L15" s="62">
        <f t="shared" si="2"/>
        <v>4305.8746876979476</v>
      </c>
      <c r="M15" s="62">
        <f t="shared" si="2"/>
        <v>4305.8746876979476</v>
      </c>
      <c r="N15" s="21">
        <f>SUM(B15:M15)</f>
        <v>51670.496252375386</v>
      </c>
    </row>
    <row r="16" spans="1:16" x14ac:dyDescent="0.25">
      <c r="A16" s="61" t="s">
        <v>40</v>
      </c>
      <c r="B16" s="62">
        <f>'Cash flow Y3'!B16*1.03</f>
        <v>2.4658750663750002</v>
      </c>
      <c r="C16" s="62">
        <f>B16</f>
        <v>2.4658750663750002</v>
      </c>
      <c r="D16" s="62">
        <f t="shared" ref="D16:M16" si="3">C16</f>
        <v>2.4658750663750002</v>
      </c>
      <c r="E16" s="62">
        <f t="shared" si="3"/>
        <v>2.4658750663750002</v>
      </c>
      <c r="F16" s="62">
        <f t="shared" si="3"/>
        <v>2.4658750663750002</v>
      </c>
      <c r="G16" s="62">
        <f t="shared" si="3"/>
        <v>2.4658750663750002</v>
      </c>
      <c r="H16" s="62">
        <f t="shared" si="3"/>
        <v>2.4658750663750002</v>
      </c>
      <c r="I16" s="62">
        <f t="shared" si="3"/>
        <v>2.4658750663750002</v>
      </c>
      <c r="J16" s="62">
        <f t="shared" si="3"/>
        <v>2.4658750663750002</v>
      </c>
      <c r="K16" s="62">
        <f t="shared" si="3"/>
        <v>2.4658750663750002</v>
      </c>
      <c r="L16" s="62">
        <f t="shared" si="3"/>
        <v>2.4658750663750002</v>
      </c>
      <c r="M16" s="62">
        <f t="shared" si="3"/>
        <v>2.4658750663750002</v>
      </c>
      <c r="N16" s="62">
        <f t="shared" ref="N16:N30" si="4">SUM(B16:M16)</f>
        <v>29.590500796499995</v>
      </c>
    </row>
    <row r="17" spans="1:16" x14ac:dyDescent="0.25">
      <c r="A17" s="61" t="s">
        <v>41</v>
      </c>
      <c r="B17" s="62">
        <f>'Cash flow Y3'!B17*1.03</f>
        <v>4.534953640875</v>
      </c>
      <c r="C17" s="62">
        <f>('Cash flow Y2'!C17)*1.03</f>
        <v>4.4028676124999997</v>
      </c>
      <c r="D17" s="62">
        <f>('Cash flow Y2'!D17)*1.03</f>
        <v>4.4028676124999997</v>
      </c>
      <c r="E17" s="62">
        <f>('Cash flow Y2'!E17)*1.03</f>
        <v>4.4028676124999997</v>
      </c>
      <c r="F17" s="62">
        <f>('Cash flow Y2'!F17)*1.03</f>
        <v>4.4028676124999997</v>
      </c>
      <c r="G17" s="62">
        <f>('Cash flow Y2'!G17)*1.03</f>
        <v>4.4028676124999997</v>
      </c>
      <c r="H17" s="62">
        <f>('Cash flow Y2'!H17)*1.03</f>
        <v>4.4028676124999997</v>
      </c>
      <c r="I17" s="62">
        <f>('Cash flow Y2'!I17)*1.03</f>
        <v>4.4028676124999997</v>
      </c>
      <c r="J17" s="62">
        <f>('Cash flow Y2'!J17)*1.03</f>
        <v>4.4028676124999997</v>
      </c>
      <c r="K17" s="62">
        <f>('Cash flow Y2'!K17)*1.03</f>
        <v>4.4028676124999997</v>
      </c>
      <c r="L17" s="62">
        <f>('Cash flow Y2'!L17)*1.03</f>
        <v>4.4028676124999997</v>
      </c>
      <c r="M17" s="62">
        <f>('Cash flow Y2'!M17)*1.03</f>
        <v>4.4028676124999997</v>
      </c>
      <c r="N17" s="62">
        <f t="shared" si="4"/>
        <v>52.96649737837501</v>
      </c>
    </row>
    <row r="18" spans="1:16" x14ac:dyDescent="0.25">
      <c r="A18" s="61" t="s">
        <v>42</v>
      </c>
      <c r="B18" s="62">
        <f>'Cash flow Y3'!B18*1.03</f>
        <v>273.18175000000002</v>
      </c>
      <c r="C18" s="62">
        <f>('Cash flow Y2'!C18)*1.03</f>
        <v>265.22500000000002</v>
      </c>
      <c r="D18" s="62">
        <f>('Cash flow Y2'!D18)*1.03</f>
        <v>265.22500000000002</v>
      </c>
      <c r="E18" s="62">
        <f>('Cash flow Y2'!E18)*1.03</f>
        <v>265.22500000000002</v>
      </c>
      <c r="F18" s="62">
        <f>('Cash flow Y2'!F18)*1.03</f>
        <v>265.22500000000002</v>
      </c>
      <c r="G18" s="62">
        <f>('Cash flow Y2'!G18)*1.03</f>
        <v>265.22500000000002</v>
      </c>
      <c r="H18" s="62">
        <f>('Cash flow Y2'!H18)*1.03</f>
        <v>265.22500000000002</v>
      </c>
      <c r="I18" s="62">
        <f>('Cash flow Y2'!I18)*1.03</f>
        <v>265.22500000000002</v>
      </c>
      <c r="J18" s="62">
        <f>('Cash flow Y2'!J18)*1.03</f>
        <v>265.22500000000002</v>
      </c>
      <c r="K18" s="62">
        <f>('Cash flow Y2'!K18)*1.03</f>
        <v>265.22500000000002</v>
      </c>
      <c r="L18" s="62">
        <f>('Cash flow Y2'!L18)*1.03</f>
        <v>265.22500000000002</v>
      </c>
      <c r="M18" s="62">
        <f>('Cash flow Y2'!M18)*1.03</f>
        <v>265.22500000000002</v>
      </c>
      <c r="N18" s="62">
        <f t="shared" si="4"/>
        <v>3190.6567499999996</v>
      </c>
    </row>
    <row r="19" spans="1:16" x14ac:dyDescent="0.25">
      <c r="A19" s="61" t="s">
        <v>64</v>
      </c>
      <c r="B19" s="62">
        <f>'Cash flow Y3'!B19*1.03</f>
        <v>35.363650719250003</v>
      </c>
      <c r="C19" s="62">
        <f>('Cash flow Y2'!C19)*1.03</f>
        <v>34.333641475</v>
      </c>
      <c r="D19" s="62">
        <f>('Cash flow Y2'!D19)*1.03</f>
        <v>34.333641475</v>
      </c>
      <c r="E19" s="62">
        <f>('Cash flow Y2'!E19)*1.03</f>
        <v>34.333641475</v>
      </c>
      <c r="F19" s="62">
        <f>('Cash flow Y2'!F19)*1.03</f>
        <v>34.333641475</v>
      </c>
      <c r="G19" s="62">
        <f>('Cash flow Y2'!G19)*1.03</f>
        <v>34.333641475</v>
      </c>
      <c r="H19" s="62">
        <f>('Cash flow Y2'!H19)*1.03</f>
        <v>34.333641475</v>
      </c>
      <c r="I19" s="62">
        <f>('Cash flow Y2'!I19)*1.03</f>
        <v>34.333641475</v>
      </c>
      <c r="J19" s="62">
        <f>('Cash flow Y2'!J19)*1.03</f>
        <v>34.333641475</v>
      </c>
      <c r="K19" s="62">
        <f>('Cash flow Y2'!K19)*1.03</f>
        <v>34.333641475</v>
      </c>
      <c r="L19" s="62">
        <f>('Cash flow Y2'!L19)*1.03</f>
        <v>34.333641475</v>
      </c>
      <c r="M19" s="62">
        <f>('Cash flow Y2'!M19)*1.03</f>
        <v>34.333641475</v>
      </c>
      <c r="N19" s="62">
        <f t="shared" si="4"/>
        <v>413.03370694424996</v>
      </c>
    </row>
    <row r="20" spans="1:16" x14ac:dyDescent="0.25">
      <c r="A20" s="61" t="s">
        <v>44</v>
      </c>
      <c r="B20" s="62">
        <f>'Cash flow Y3'!B20*1.03</f>
        <v>16.011455549250002</v>
      </c>
      <c r="C20" s="62">
        <f>('Cash flow Y2'!C20)*1.03</f>
        <v>15.545102475</v>
      </c>
      <c r="D20" s="62">
        <f>('Cash flow Y2'!D20)*1.03</f>
        <v>15.545102475</v>
      </c>
      <c r="E20" s="62">
        <f>('Cash flow Y2'!E20)*1.03</f>
        <v>15.545102475</v>
      </c>
      <c r="F20" s="62">
        <f>('Cash flow Y2'!F20)*1.03</f>
        <v>15.545102475</v>
      </c>
      <c r="G20" s="62">
        <f>('Cash flow Y2'!G20)*1.03</f>
        <v>15.545102475</v>
      </c>
      <c r="H20" s="62">
        <f>('Cash flow Y2'!H20)*1.03</f>
        <v>15.545102475</v>
      </c>
      <c r="I20" s="62">
        <f>('Cash flow Y2'!I20)*1.03</f>
        <v>15.545102475</v>
      </c>
      <c r="J20" s="62">
        <f>('Cash flow Y2'!J20)*1.03</f>
        <v>15.545102475</v>
      </c>
      <c r="K20" s="62">
        <f>('Cash flow Y2'!K20)*1.03</f>
        <v>15.545102475</v>
      </c>
      <c r="L20" s="62">
        <f>('Cash flow Y2'!L20)*1.03</f>
        <v>15.545102475</v>
      </c>
      <c r="M20" s="62">
        <f>('Cash flow Y2'!M20)*1.03</f>
        <v>15.545102475</v>
      </c>
      <c r="N20" s="62">
        <f t="shared" si="4"/>
        <v>187.00758277424995</v>
      </c>
    </row>
    <row r="21" spans="1:16" x14ac:dyDescent="0.25">
      <c r="A21" s="61" t="s">
        <v>45</v>
      </c>
      <c r="B21" s="62">
        <f>'Cash flow Y3'!B21*1.03</f>
        <v>22.947267</v>
      </c>
      <c r="C21" s="62">
        <f>('Cash flow Y2'!C21)*1.03</f>
        <v>22.2789</v>
      </c>
      <c r="D21" s="62">
        <f>('Cash flow Y2'!D21)*1.03</f>
        <v>22.2789</v>
      </c>
      <c r="E21" s="62">
        <f>('Cash flow Y2'!E21)*1.03</f>
        <v>22.2789</v>
      </c>
      <c r="F21" s="62">
        <f>('Cash flow Y2'!F21)*1.03</f>
        <v>22.2789</v>
      </c>
      <c r="G21" s="62">
        <f>('Cash flow Y2'!G21)*1.03</f>
        <v>22.2789</v>
      </c>
      <c r="H21" s="62">
        <f>('Cash flow Y2'!H21)*1.03</f>
        <v>22.2789</v>
      </c>
      <c r="I21" s="62">
        <f>('Cash flow Y2'!I21)*1.03</f>
        <v>22.2789</v>
      </c>
      <c r="J21" s="62">
        <f>('Cash flow Y2'!J21)*1.03</f>
        <v>22.2789</v>
      </c>
      <c r="K21" s="62">
        <f>('Cash flow Y2'!K21)*1.03</f>
        <v>22.2789</v>
      </c>
      <c r="L21" s="62">
        <f>('Cash flow Y2'!L21)*1.03</f>
        <v>22.2789</v>
      </c>
      <c r="M21" s="62">
        <f>('Cash flow Y2'!M21)*1.03</f>
        <v>22.2789</v>
      </c>
      <c r="N21" s="62">
        <f t="shared" si="4"/>
        <v>268.01516699999996</v>
      </c>
    </row>
    <row r="22" spans="1:16" x14ac:dyDescent="0.25">
      <c r="A22" s="61" t="s">
        <v>46</v>
      </c>
      <c r="B22" s="62">
        <f>'Cash flow Y3'!B22*1.03</f>
        <v>14.342041875000001</v>
      </c>
      <c r="C22" s="62">
        <f>('Cash flow Y2'!C22)*1.03</f>
        <v>13.924312500000001</v>
      </c>
      <c r="D22" s="62">
        <f>('Cash flow Y2'!D22)*1.03</f>
        <v>13.924312500000001</v>
      </c>
      <c r="E22" s="62">
        <f>('Cash flow Y2'!E22)*1.03</f>
        <v>13.924312500000001</v>
      </c>
      <c r="F22" s="62">
        <f>('Cash flow Y2'!F22)*1.03</f>
        <v>13.924312500000001</v>
      </c>
      <c r="G22" s="62">
        <f>('Cash flow Y2'!G22)*1.03</f>
        <v>13.924312500000001</v>
      </c>
      <c r="H22" s="62">
        <f>('Cash flow Y2'!H22)*1.03</f>
        <v>13.924312500000001</v>
      </c>
      <c r="I22" s="62">
        <f>('Cash flow Y2'!I22)*1.03</f>
        <v>13.924312500000001</v>
      </c>
      <c r="J22" s="62">
        <f>('Cash flow Y2'!J22)*1.03</f>
        <v>13.924312500000001</v>
      </c>
      <c r="K22" s="62">
        <f>('Cash flow Y2'!K22)*1.03</f>
        <v>13.924312500000001</v>
      </c>
      <c r="L22" s="62">
        <f>('Cash flow Y2'!L22)*1.03</f>
        <v>13.924312500000001</v>
      </c>
      <c r="M22" s="62">
        <f>('Cash flow Y2'!M22)*1.03</f>
        <v>13.924312500000001</v>
      </c>
      <c r="N22" s="62">
        <f t="shared" si="4"/>
        <v>167.50947937500004</v>
      </c>
    </row>
    <row r="23" spans="1:16" x14ac:dyDescent="0.25">
      <c r="A23" s="61" t="s">
        <v>47</v>
      </c>
      <c r="B23" s="62">
        <f>'Cash flow Y3'!B23*1.03</f>
        <v>254.96963333333335</v>
      </c>
      <c r="C23" s="62">
        <f>('Cash flow Y2'!C23)*1.03</f>
        <v>247.54333333333335</v>
      </c>
      <c r="D23" s="62">
        <f>('Cash flow Y2'!D23)*1.03</f>
        <v>247.54333333333335</v>
      </c>
      <c r="E23" s="62">
        <f>('Cash flow Y2'!E23)*1.03</f>
        <v>247.54333333333335</v>
      </c>
      <c r="F23" s="62">
        <f>('Cash flow Y2'!F23)*1.03</f>
        <v>247.54333333333335</v>
      </c>
      <c r="G23" s="62">
        <f>('Cash flow Y2'!G23)*1.03</f>
        <v>247.54333333333335</v>
      </c>
      <c r="H23" s="62">
        <f>('Cash flow Y2'!H23)*1.03</f>
        <v>247.54333333333335</v>
      </c>
      <c r="I23" s="62">
        <f>('Cash flow Y2'!I23)*1.03</f>
        <v>247.54333333333335</v>
      </c>
      <c r="J23" s="62">
        <f>('Cash flow Y2'!J23)*1.03</f>
        <v>247.54333333333335</v>
      </c>
      <c r="K23" s="62">
        <f>('Cash flow Y2'!K23)*1.03</f>
        <v>247.54333333333335</v>
      </c>
      <c r="L23" s="62">
        <f>('Cash flow Y2'!L23)*1.03</f>
        <v>247.54333333333335</v>
      </c>
      <c r="M23" s="62">
        <f>('Cash flow Y2'!M23)*1.03</f>
        <v>247.54333333333335</v>
      </c>
      <c r="N23" s="62">
        <f t="shared" si="4"/>
        <v>2977.9463000000005</v>
      </c>
    </row>
    <row r="24" spans="1:16" x14ac:dyDescent="0.25">
      <c r="A24" s="61" t="s">
        <v>48</v>
      </c>
      <c r="B24" s="62">
        <f>'Cash flow Y3'!B24*1.03</f>
        <v>22.947267</v>
      </c>
      <c r="C24" s="62">
        <f>('Cash flow Y2'!C24)*1.03</f>
        <v>22.2789</v>
      </c>
      <c r="D24" s="62">
        <f>('Cash flow Y2'!D24)*1.03</f>
        <v>22.2789</v>
      </c>
      <c r="E24" s="62">
        <f>('Cash flow Y2'!E24)*1.03</f>
        <v>22.2789</v>
      </c>
      <c r="F24" s="62">
        <f>('Cash flow Y2'!F24)*1.03</f>
        <v>22.2789</v>
      </c>
      <c r="G24" s="62">
        <f>('Cash flow Y2'!G24)*1.03</f>
        <v>22.2789</v>
      </c>
      <c r="H24" s="62">
        <f>('Cash flow Y2'!H24)*1.03</f>
        <v>22.2789</v>
      </c>
      <c r="I24" s="62">
        <f>('Cash flow Y2'!I24)*1.03</f>
        <v>22.2789</v>
      </c>
      <c r="J24" s="62">
        <f>('Cash flow Y2'!J24)*1.03</f>
        <v>22.2789</v>
      </c>
      <c r="K24" s="62">
        <f>('Cash flow Y2'!K24)*1.03</f>
        <v>22.2789</v>
      </c>
      <c r="L24" s="62">
        <f>('Cash flow Y2'!L24)*1.03</f>
        <v>22.2789</v>
      </c>
      <c r="M24" s="62">
        <f>('Cash flow Y2'!M24)*1.03</f>
        <v>22.2789</v>
      </c>
      <c r="N24" s="62">
        <f t="shared" si="4"/>
        <v>268.01516699999996</v>
      </c>
    </row>
    <row r="25" spans="1:16" x14ac:dyDescent="0.25">
      <c r="A25" s="61" t="s">
        <v>49</v>
      </c>
      <c r="B25" s="62">
        <f>'Cash flow Y3'!B25*1.03</f>
        <v>45.53029166666667</v>
      </c>
      <c r="C25" s="62">
        <f>('Cash flow Y2'!C25)*1.03</f>
        <v>44.204166666666666</v>
      </c>
      <c r="D25" s="62">
        <f>('Cash flow Y2'!D25)*1.03</f>
        <v>44.204166666666666</v>
      </c>
      <c r="E25" s="62">
        <f>('Cash flow Y2'!E25)*1.03</f>
        <v>44.204166666666666</v>
      </c>
      <c r="F25" s="62">
        <f>('Cash flow Y2'!F25)*1.03</f>
        <v>44.204166666666666</v>
      </c>
      <c r="G25" s="62">
        <f>('Cash flow Y2'!G25)*1.03</f>
        <v>44.204166666666666</v>
      </c>
      <c r="H25" s="62">
        <f>('Cash flow Y2'!H25)*1.03</f>
        <v>44.204166666666666</v>
      </c>
      <c r="I25" s="62">
        <f>('Cash flow Y2'!I25)*1.03</f>
        <v>44.204166666666666</v>
      </c>
      <c r="J25" s="62">
        <f>('Cash flow Y2'!J25)*1.03</f>
        <v>44.204166666666666</v>
      </c>
      <c r="K25" s="62">
        <f>('Cash flow Y2'!K25)*1.03</f>
        <v>44.204166666666666</v>
      </c>
      <c r="L25" s="62">
        <f>('Cash flow Y2'!L25)*1.03</f>
        <v>44.204166666666666</v>
      </c>
      <c r="M25" s="62">
        <f>('Cash flow Y2'!M25)*1.03</f>
        <v>44.204166666666666</v>
      </c>
      <c r="N25" s="62">
        <f t="shared" si="4"/>
        <v>531.77612499999987</v>
      </c>
    </row>
    <row r="26" spans="1:16" x14ac:dyDescent="0.25">
      <c r="A26" s="61" t="s">
        <v>50</v>
      </c>
      <c r="B26" s="62">
        <f>'Cash flow Y3'!B26*1.03</f>
        <v>0.45530291666666672</v>
      </c>
      <c r="C26" s="62">
        <f>('Cash flow Y2'!C26)*1.03</f>
        <v>0.44204166666666672</v>
      </c>
      <c r="D26" s="62">
        <f>('Cash flow Y2'!D26)*1.03</f>
        <v>0.44204166666666672</v>
      </c>
      <c r="E26" s="62">
        <f>('Cash flow Y2'!E26)*1.03</f>
        <v>0.44204166666666672</v>
      </c>
      <c r="F26" s="62">
        <f>('Cash flow Y2'!F26)*1.03</f>
        <v>0.44204166666666672</v>
      </c>
      <c r="G26" s="62">
        <f>('Cash flow Y2'!G26)*1.03</f>
        <v>0.44204166666666672</v>
      </c>
      <c r="H26" s="62">
        <f>('Cash flow Y2'!H26)*1.03</f>
        <v>0.44204166666666672</v>
      </c>
      <c r="I26" s="62">
        <f>('Cash flow Y2'!I26)*1.03</f>
        <v>0.44204166666666672</v>
      </c>
      <c r="J26" s="62">
        <f>('Cash flow Y2'!J26)*1.03</f>
        <v>0.44204166666666672</v>
      </c>
      <c r="K26" s="62">
        <f>('Cash flow Y2'!K26)*1.03</f>
        <v>0.44204166666666672</v>
      </c>
      <c r="L26" s="62">
        <f>('Cash flow Y2'!L26)*1.03</f>
        <v>0.44204166666666672</v>
      </c>
      <c r="M26" s="62">
        <f>('Cash flow Y2'!M26)*1.03</f>
        <v>0.44204166666666672</v>
      </c>
      <c r="N26" s="62">
        <f t="shared" si="4"/>
        <v>5.3177612500000011</v>
      </c>
    </row>
    <row r="27" spans="1:16" x14ac:dyDescent="0.25">
      <c r="A27" s="61" t="s">
        <v>51</v>
      </c>
      <c r="B27" s="62">
        <f>'Cash flow Y3'!B27*1.03</f>
        <v>36.715627200000007</v>
      </c>
      <c r="C27" s="62">
        <f>('Cash flow Y2'!C27)*1.03</f>
        <v>35.646240000000006</v>
      </c>
      <c r="D27" s="62">
        <f>('Cash flow Y2'!D27)*1.03</f>
        <v>35.646240000000006</v>
      </c>
      <c r="E27" s="62">
        <f>('Cash flow Y2'!E27)*1.03</f>
        <v>35.646240000000006</v>
      </c>
      <c r="F27" s="62">
        <f>('Cash flow Y2'!F27)*1.03</f>
        <v>35.646240000000006</v>
      </c>
      <c r="G27" s="62">
        <f>('Cash flow Y2'!G27)*1.03</f>
        <v>35.646240000000006</v>
      </c>
      <c r="H27" s="62">
        <f>('Cash flow Y2'!H27)*1.03</f>
        <v>35.646240000000006</v>
      </c>
      <c r="I27" s="62">
        <f>('Cash flow Y2'!I27)*1.03</f>
        <v>35.646240000000006</v>
      </c>
      <c r="J27" s="62">
        <f>('Cash flow Y2'!J27)*1.03</f>
        <v>35.646240000000006</v>
      </c>
      <c r="K27" s="62">
        <f>('Cash flow Y2'!K27)*1.03</f>
        <v>35.646240000000006</v>
      </c>
      <c r="L27" s="62">
        <f>('Cash flow Y2'!L27)*1.03</f>
        <v>35.646240000000006</v>
      </c>
      <c r="M27" s="62">
        <f>('Cash flow Y2'!M27)*1.03</f>
        <v>35.646240000000006</v>
      </c>
      <c r="N27" s="62">
        <f t="shared" si="4"/>
        <v>428.82426720000012</v>
      </c>
    </row>
    <row r="28" spans="1:16" x14ac:dyDescent="0.25">
      <c r="A28" s="61" t="s">
        <v>52</v>
      </c>
      <c r="B28" s="62">
        <f>'Cash flow Y3'!B28*1.03</f>
        <v>21.854540000000004</v>
      </c>
      <c r="C28" s="62">
        <f>('Cash flow Y2'!C28)*1.03</f>
        <v>21.218000000000004</v>
      </c>
      <c r="D28" s="62">
        <f>('Cash flow Y2'!D28)*1.03</f>
        <v>21.218000000000004</v>
      </c>
      <c r="E28" s="62">
        <f>('Cash flow Y2'!E28)*1.03</f>
        <v>21.218000000000004</v>
      </c>
      <c r="F28" s="62">
        <f>('Cash flow Y2'!F28)*1.03</f>
        <v>21.218000000000004</v>
      </c>
      <c r="G28" s="62">
        <f>('Cash flow Y2'!G28)*1.03</f>
        <v>21.218000000000004</v>
      </c>
      <c r="H28" s="62">
        <f>('Cash flow Y2'!H28)*1.03</f>
        <v>21.218000000000004</v>
      </c>
      <c r="I28" s="62">
        <f>('Cash flow Y2'!I28)*1.03</f>
        <v>21.218000000000004</v>
      </c>
      <c r="J28" s="62">
        <f>('Cash flow Y2'!J28)*1.03</f>
        <v>21.218000000000004</v>
      </c>
      <c r="K28" s="62">
        <f>('Cash flow Y2'!K28)*1.03</f>
        <v>21.218000000000004</v>
      </c>
      <c r="L28" s="62">
        <f>('Cash flow Y2'!L28)*1.03</f>
        <v>21.218000000000004</v>
      </c>
      <c r="M28" s="62">
        <f>('Cash flow Y2'!M28)*1.03</f>
        <v>21.218000000000004</v>
      </c>
      <c r="N28" s="62">
        <f t="shared" si="4"/>
        <v>255.25254000000012</v>
      </c>
    </row>
    <row r="29" spans="1:16" x14ac:dyDescent="0.25">
      <c r="A29" s="61" t="s">
        <v>53</v>
      </c>
      <c r="B29" s="62">
        <f>'Cash flow Y3'!B29*1.03</f>
        <v>9.059389784375</v>
      </c>
      <c r="C29" s="62">
        <f>'Cash flow Y3'!C29*1.03</f>
        <v>9.059389784375</v>
      </c>
      <c r="D29" s="62">
        <f>'Cash flow Y3'!D29*1.03</f>
        <v>9.059389784375</v>
      </c>
      <c r="E29" s="62">
        <f>'Cash flow Y3'!E29*1.03</f>
        <v>9.059389784375</v>
      </c>
      <c r="F29" s="62">
        <f>'Cash flow Y3'!F29*1.03</f>
        <v>9.059389784375</v>
      </c>
      <c r="G29" s="62">
        <f>'Cash flow Y3'!G29*1.03</f>
        <v>9.059389784375</v>
      </c>
      <c r="H29" s="62">
        <f>'Cash flow Y3'!H29*1.03</f>
        <v>9.059389784375</v>
      </c>
      <c r="I29" s="62">
        <f>'Cash flow Y3'!I29*1.03</f>
        <v>9.059389784375</v>
      </c>
      <c r="J29" s="62">
        <f>'Cash flow Y3'!J29*1.03</f>
        <v>9.059389784375</v>
      </c>
      <c r="K29" s="62">
        <f>'Cash flow Y3'!K29*1.03</f>
        <v>9.059389784375</v>
      </c>
      <c r="L29" s="62">
        <f>'Cash flow Y3'!L29*1.03</f>
        <v>9.059389784375</v>
      </c>
      <c r="M29" s="62">
        <f>'Cash flow Y3'!M29*1.03</f>
        <v>9.059389784375</v>
      </c>
      <c r="N29" s="62">
        <f t="shared" si="4"/>
        <v>108.7126774125</v>
      </c>
    </row>
    <row r="30" spans="1:16" x14ac:dyDescent="0.25">
      <c r="A30" s="61" t="s">
        <v>54</v>
      </c>
      <c r="B30" s="62">
        <f>'Cash flow Y3'!B30*1.03</f>
        <v>8.6339092087500013</v>
      </c>
      <c r="C30" s="62">
        <f>('Cash flow Y2'!C30)*1.03</f>
        <v>8.3824361250000017</v>
      </c>
      <c r="D30" s="62">
        <f>('Cash flow Y2'!D30)*1.03</f>
        <v>8.3824361250000017</v>
      </c>
      <c r="E30" s="62">
        <f>('Cash flow Y2'!E30)*1.03</f>
        <v>8.3824361250000017</v>
      </c>
      <c r="F30" s="62">
        <f>('Cash flow Y2'!F30)*1.03</f>
        <v>8.3824361250000017</v>
      </c>
      <c r="G30" s="62">
        <f>('Cash flow Y2'!G30)*1.03</f>
        <v>8.3824361250000017</v>
      </c>
      <c r="H30" s="62">
        <f>('Cash flow Y2'!H30)*1.03</f>
        <v>8.3824361250000017</v>
      </c>
      <c r="I30" s="62">
        <f>('Cash flow Y2'!I30)*1.03</f>
        <v>8.3824361250000017</v>
      </c>
      <c r="J30" s="62">
        <f>('Cash flow Y2'!J30)*1.03</f>
        <v>8.3824361250000017</v>
      </c>
      <c r="K30" s="62">
        <f>('Cash flow Y2'!K30)*1.03</f>
        <v>8.3824361250000017</v>
      </c>
      <c r="L30" s="62">
        <f>('Cash flow Y2'!L30)*1.03</f>
        <v>8.3824361250000017</v>
      </c>
      <c r="M30" s="62">
        <f>('Cash flow Y2'!M30)*1.03</f>
        <v>8.3824361250000017</v>
      </c>
      <c r="N30" s="62">
        <f t="shared" si="4"/>
        <v>100.84070658374999</v>
      </c>
    </row>
    <row r="31" spans="1:16" ht="1.5" customHeight="1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6" x14ac:dyDescent="0.25">
      <c r="A32" s="41" t="s">
        <v>59</v>
      </c>
      <c r="B32" s="15">
        <f t="shared" ref="B32:M32" si="5">SUM(B15:B30)</f>
        <v>5074.8876426584875</v>
      </c>
      <c r="C32" s="15">
        <f t="shared" si="5"/>
        <v>5052.8248944028637</v>
      </c>
      <c r="D32" s="15">
        <f t="shared" si="5"/>
        <v>5052.8248944028637</v>
      </c>
      <c r="E32" s="15">
        <f t="shared" si="5"/>
        <v>5052.8248944028637</v>
      </c>
      <c r="F32" s="15">
        <f t="shared" si="5"/>
        <v>5052.8248944028637</v>
      </c>
      <c r="G32" s="15">
        <f t="shared" si="5"/>
        <v>5052.8248944028637</v>
      </c>
      <c r="H32" s="15">
        <f t="shared" si="5"/>
        <v>5052.8248944028637</v>
      </c>
      <c r="I32" s="15">
        <f t="shared" si="5"/>
        <v>5052.8248944028637</v>
      </c>
      <c r="J32" s="15">
        <f t="shared" si="5"/>
        <v>5052.8248944028637</v>
      </c>
      <c r="K32" s="15">
        <f t="shared" si="5"/>
        <v>5052.8248944028637</v>
      </c>
      <c r="L32" s="15">
        <f t="shared" si="5"/>
        <v>5052.8248944028637</v>
      </c>
      <c r="M32" s="15">
        <f t="shared" si="5"/>
        <v>5052.8248944028637</v>
      </c>
      <c r="N32" s="15">
        <f>SUM(B32:M32)</f>
        <v>60655.961481089966</v>
      </c>
      <c r="O32" s="61" t="s">
        <v>165</v>
      </c>
      <c r="P32" s="62"/>
    </row>
    <row r="34" spans="1:15" x14ac:dyDescent="0.25">
      <c r="A34" s="61" t="s">
        <v>65</v>
      </c>
      <c r="B34" s="62">
        <f t="shared" ref="B34:M34" si="6">SUM(B11-B32)</f>
        <v>239.20895734151327</v>
      </c>
      <c r="C34" s="62">
        <f t="shared" si="6"/>
        <v>261.27170559713704</v>
      </c>
      <c r="D34" s="62">
        <f t="shared" si="6"/>
        <v>261.27170559713704</v>
      </c>
      <c r="E34" s="62">
        <f t="shared" si="6"/>
        <v>261.27170559713704</v>
      </c>
      <c r="F34" s="62">
        <f t="shared" si="6"/>
        <v>1446.0458555971372</v>
      </c>
      <c r="G34" s="62">
        <f t="shared" si="6"/>
        <v>461.27170559713704</v>
      </c>
      <c r="H34" s="62">
        <f t="shared" si="6"/>
        <v>-1920.9340194028637</v>
      </c>
      <c r="I34" s="62">
        <f t="shared" si="6"/>
        <v>-2232.3121944028635</v>
      </c>
      <c r="J34" s="62">
        <f t="shared" si="6"/>
        <v>1446.0458555971372</v>
      </c>
      <c r="K34" s="62">
        <f t="shared" si="6"/>
        <v>261.27170559713704</v>
      </c>
      <c r="L34" s="62">
        <f t="shared" si="6"/>
        <v>261.27170559713704</v>
      </c>
      <c r="M34" s="62">
        <f t="shared" si="6"/>
        <v>1446.0458555971372</v>
      </c>
      <c r="N34" s="62">
        <f>SUM(B34:M34)</f>
        <v>2191.7305439100201</v>
      </c>
    </row>
    <row r="37" spans="1:15" x14ac:dyDescent="0.25">
      <c r="N37" s="62">
        <f>N5+N6+N7</f>
        <v>46347.692025000004</v>
      </c>
      <c r="O37" s="61" t="s">
        <v>166</v>
      </c>
    </row>
    <row r="38" spans="1:15" x14ac:dyDescent="0.25">
      <c r="N38" s="23">
        <f>N37/N11</f>
        <v>0.73746052610115709</v>
      </c>
      <c r="O38" s="61" t="s">
        <v>167</v>
      </c>
    </row>
    <row r="39" spans="1:15" x14ac:dyDescent="0.25">
      <c r="N39" s="62">
        <f>N37-N32</f>
        <v>-14308.269456089962</v>
      </c>
      <c r="O39" s="61" t="s">
        <v>168</v>
      </c>
    </row>
  </sheetData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B7" sqref="B7"/>
    </sheetView>
  </sheetViews>
  <sheetFormatPr defaultRowHeight="15" x14ac:dyDescent="0.25"/>
  <cols>
    <col min="1" max="1" width="44.85546875" style="61" customWidth="1"/>
    <col min="2" max="2" width="12.42578125" style="61" customWidth="1"/>
    <col min="3" max="3" width="10.7109375" style="61" customWidth="1"/>
    <col min="4" max="4" width="11" style="61" customWidth="1"/>
    <col min="5" max="5" width="10.5703125" style="61" customWidth="1"/>
    <col min="6" max="6" width="10.5703125" style="61" bestFit="1" customWidth="1"/>
    <col min="7" max="7" width="10.5703125" style="61" customWidth="1"/>
    <col min="8" max="8" width="9.85546875" style="61" bestFit="1" customWidth="1"/>
    <col min="9" max="9" width="10.140625" style="61" bestFit="1" customWidth="1"/>
    <col min="10" max="10" width="10.5703125" style="61" bestFit="1" customWidth="1"/>
    <col min="11" max="12" width="9.85546875" style="61" bestFit="1" customWidth="1"/>
    <col min="13" max="13" width="10.5703125" style="61" bestFit="1" customWidth="1"/>
    <col min="14" max="14" width="11.5703125" style="61" bestFit="1" customWidth="1"/>
    <col min="15" max="15" width="9.140625" style="61"/>
    <col min="16" max="16" width="10.85546875" style="61" bestFit="1" customWidth="1"/>
    <col min="17" max="16384" width="9.140625" style="61"/>
  </cols>
  <sheetData>
    <row r="1" spans="1:16" x14ac:dyDescent="0.25">
      <c r="B1" s="22" t="s">
        <v>151</v>
      </c>
      <c r="C1" s="22" t="s">
        <v>154</v>
      </c>
      <c r="D1" s="22" t="s">
        <v>155</v>
      </c>
      <c r="E1" s="22" t="s">
        <v>152</v>
      </c>
      <c r="F1" s="22" t="s">
        <v>153</v>
      </c>
      <c r="G1" s="22" t="s">
        <v>156</v>
      </c>
      <c r="H1" s="22" t="s">
        <v>157</v>
      </c>
      <c r="I1" s="22" t="s">
        <v>158</v>
      </c>
      <c r="J1" s="22" t="s">
        <v>159</v>
      </c>
      <c r="K1" s="22" t="s">
        <v>160</v>
      </c>
      <c r="L1" s="22" t="s">
        <v>161</v>
      </c>
      <c r="M1" s="22" t="s">
        <v>162</v>
      </c>
      <c r="N1" s="41" t="s">
        <v>59</v>
      </c>
    </row>
    <row r="2" spans="1:16" x14ac:dyDescent="0.25">
      <c r="A2" s="61" t="s">
        <v>67</v>
      </c>
      <c r="B2" s="62">
        <f>'Cash flow Y4'!B2*1.05</f>
        <v>1003.9618575000001</v>
      </c>
      <c r="C2" s="62">
        <f>'Cash flow Y4'!C2*1.05</f>
        <v>1003.9618575000001</v>
      </c>
      <c r="D2" s="62">
        <f>'Cash flow Y4'!D2*1.05</f>
        <v>1003.9618575000001</v>
      </c>
      <c r="E2" s="62">
        <f>'Cash flow Y4'!E2*1.05</f>
        <v>1003.9618575000001</v>
      </c>
      <c r="F2" s="62">
        <f>'Cash flow Y4'!F2*1.05</f>
        <v>1003.9618575000001</v>
      </c>
      <c r="G2" s="62">
        <f>'Cash flow Y4'!G2*1.05</f>
        <v>1003.9618575000001</v>
      </c>
      <c r="H2" s="62">
        <f>'Cash flow Y4'!H2*1.05</f>
        <v>296.89608375</v>
      </c>
      <c r="I2" s="62">
        <f>'Cash flow Y4'!I2*1.05</f>
        <v>296.89608375</v>
      </c>
      <c r="J2" s="62">
        <f>'Cash flow Y4'!J2*1.05</f>
        <v>1003.9618575000001</v>
      </c>
      <c r="K2" s="62">
        <f>'Cash flow Y4'!K2*1.05</f>
        <v>1003.9618575000001</v>
      </c>
      <c r="L2" s="62">
        <f>'Cash flow Y4'!L2*1.05</f>
        <v>1003.9618575000001</v>
      </c>
      <c r="M2" s="62">
        <f>'Cash flow Y4'!M2*1.05</f>
        <v>1003.9618575000001</v>
      </c>
      <c r="N2" s="18"/>
      <c r="O2" s="61" t="s">
        <v>163</v>
      </c>
    </row>
    <row r="3" spans="1:16" x14ac:dyDescent="0.25">
      <c r="A3" s="61" t="s">
        <v>139</v>
      </c>
      <c r="B3" s="18">
        <v>4</v>
      </c>
      <c r="C3" s="18">
        <v>4</v>
      </c>
      <c r="D3" s="18">
        <v>4</v>
      </c>
      <c r="E3" s="18">
        <v>4</v>
      </c>
      <c r="F3" s="18">
        <v>5</v>
      </c>
      <c r="G3" s="18">
        <v>4</v>
      </c>
      <c r="H3" s="18">
        <v>5</v>
      </c>
      <c r="I3" s="18">
        <v>4</v>
      </c>
      <c r="J3" s="18">
        <v>5</v>
      </c>
      <c r="K3" s="18">
        <v>4</v>
      </c>
      <c r="L3" s="18">
        <v>4</v>
      </c>
      <c r="M3" s="18">
        <v>5</v>
      </c>
      <c r="N3" s="18"/>
    </row>
    <row r="4" spans="1:1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6" x14ac:dyDescent="0.25">
      <c r="A5" s="61" t="s">
        <v>61</v>
      </c>
      <c r="B5" s="62">
        <f>B2*B3</f>
        <v>4015.8474300000003</v>
      </c>
      <c r="C5" s="62">
        <f t="shared" ref="C5:M5" si="0">C2*C3</f>
        <v>4015.8474300000003</v>
      </c>
      <c r="D5" s="62">
        <f t="shared" si="0"/>
        <v>4015.8474300000003</v>
      </c>
      <c r="E5" s="62">
        <f t="shared" si="0"/>
        <v>4015.8474300000003</v>
      </c>
      <c r="F5" s="62">
        <f t="shared" si="0"/>
        <v>5019.8092875000002</v>
      </c>
      <c r="G5" s="62">
        <f t="shared" si="0"/>
        <v>4015.8474300000003</v>
      </c>
      <c r="H5" s="62">
        <f t="shared" si="0"/>
        <v>1484.4804187499999</v>
      </c>
      <c r="I5" s="62">
        <f t="shared" si="0"/>
        <v>1187.584335</v>
      </c>
      <c r="J5" s="62">
        <f t="shared" si="0"/>
        <v>5019.8092875000002</v>
      </c>
      <c r="K5" s="62">
        <f t="shared" si="0"/>
        <v>4015.8474300000003</v>
      </c>
      <c r="L5" s="62">
        <f t="shared" si="0"/>
        <v>4015.8474300000003</v>
      </c>
      <c r="M5" s="62">
        <f t="shared" si="0"/>
        <v>5019.8092875000002</v>
      </c>
      <c r="N5" s="62">
        <f>SUM(B5:M5)</f>
        <v>45842.424626250009</v>
      </c>
    </row>
    <row r="6" spans="1:16" x14ac:dyDescent="0.25">
      <c r="A6" s="61" t="s">
        <v>142</v>
      </c>
      <c r="B6" s="61">
        <f>'Other income'!$F$7*'Cash flow Y5'!B3</f>
        <v>114.47999999999999</v>
      </c>
      <c r="C6" s="61">
        <f>'Other income'!$F$7*'Cash flow Y5'!C3</f>
        <v>114.47999999999999</v>
      </c>
      <c r="D6" s="61">
        <f>'Other income'!$F$7*'Cash flow Y5'!D3</f>
        <v>114.47999999999999</v>
      </c>
      <c r="E6" s="61">
        <f>'Other income'!$F$7*'Cash flow Y5'!E3</f>
        <v>114.47999999999999</v>
      </c>
      <c r="F6" s="61">
        <f>'Other income'!$F$7*'Cash flow Y5'!F3</f>
        <v>143.1</v>
      </c>
      <c r="G6" s="40">
        <f>('Other income'!$F$7*'Cash flow Y5'!G3)</f>
        <v>114.47999999999999</v>
      </c>
      <c r="H6" s="61">
        <f>'Other income'!$F$7*'Cash flow Y5'!H3</f>
        <v>143.1</v>
      </c>
      <c r="I6" s="61">
        <f>'Other income'!$F$7*'Cash flow Y5'!I3</f>
        <v>114.47999999999999</v>
      </c>
      <c r="J6" s="61">
        <f>'Other income'!$F$7*'Cash flow Y5'!J3</f>
        <v>143.1</v>
      </c>
      <c r="K6" s="40">
        <f>('Other income'!$F$7*'Cash flow Y5'!K3)</f>
        <v>114.47999999999999</v>
      </c>
      <c r="L6" s="61">
        <f>'Other income'!$F$7*'Cash flow Y5'!L3</f>
        <v>114.47999999999999</v>
      </c>
      <c r="M6" s="61">
        <f>'Other income'!$F$7*'Cash flow Y5'!M3</f>
        <v>143.1</v>
      </c>
      <c r="N6" s="62">
        <f>SUM(B6:M6)</f>
        <v>1488.24</v>
      </c>
      <c r="O6" s="61" t="s">
        <v>164</v>
      </c>
      <c r="P6" s="62"/>
    </row>
    <row r="7" spans="1:16" x14ac:dyDescent="0.25">
      <c r="A7" s="61" t="s">
        <v>141</v>
      </c>
      <c r="B7" s="62">
        <v>0</v>
      </c>
      <c r="C7" s="62">
        <v>0</v>
      </c>
      <c r="D7" s="62">
        <v>0</v>
      </c>
      <c r="E7" s="62">
        <v>0</v>
      </c>
      <c r="F7" s="62">
        <v>200</v>
      </c>
      <c r="G7" s="62">
        <v>200</v>
      </c>
      <c r="H7" s="62">
        <v>200</v>
      </c>
      <c r="I7" s="62">
        <v>200</v>
      </c>
      <c r="J7" s="62">
        <v>200</v>
      </c>
      <c r="K7" s="62">
        <v>0</v>
      </c>
      <c r="L7" s="62">
        <v>0</v>
      </c>
      <c r="M7" s="62">
        <v>200</v>
      </c>
      <c r="N7" s="62">
        <f>SUM(B7:M7)</f>
        <v>1200</v>
      </c>
    </row>
    <row r="8" spans="1:16" x14ac:dyDescent="0.25">
      <c r="A8" s="61" t="s">
        <v>66</v>
      </c>
      <c r="B8" s="62">
        <f>Grants!$D$6/12</f>
        <v>1375</v>
      </c>
      <c r="C8" s="62">
        <f>Grants!$D$6/12</f>
        <v>1375</v>
      </c>
      <c r="D8" s="62">
        <f>Grants!$D$6/12</f>
        <v>1375</v>
      </c>
      <c r="E8" s="62">
        <f>Grants!$D$6/12</f>
        <v>1375</v>
      </c>
      <c r="F8" s="62">
        <f>Grants!$D$6/12</f>
        <v>1375</v>
      </c>
      <c r="G8" s="62">
        <f>Grants!$D$6/12</f>
        <v>1375</v>
      </c>
      <c r="H8" s="62">
        <f>Grants!$D$6/12</f>
        <v>1375</v>
      </c>
      <c r="I8" s="62">
        <f>Grants!$D$6/12</f>
        <v>1375</v>
      </c>
      <c r="J8" s="62">
        <f>Grants!$D$6/12</f>
        <v>1375</v>
      </c>
      <c r="K8" s="62">
        <f>Grants!$D$6/12</f>
        <v>1375</v>
      </c>
      <c r="L8" s="62">
        <f>Grants!$D$6/12</f>
        <v>1375</v>
      </c>
      <c r="M8" s="62">
        <f>Grants!$D$6/12</f>
        <v>1375</v>
      </c>
      <c r="N8" s="62">
        <f>SUM(B8:M8)</f>
        <v>16500</v>
      </c>
    </row>
    <row r="9" spans="1:16" x14ac:dyDescent="0.25">
      <c r="A9" s="61" t="s">
        <v>62</v>
      </c>
      <c r="B9" s="62">
        <f>Grants!$D$2/12</f>
        <v>0</v>
      </c>
      <c r="C9" s="62">
        <f>Grants!$D$2/12</f>
        <v>0</v>
      </c>
      <c r="D9" s="62">
        <f>Grants!$D$2/12</f>
        <v>0</v>
      </c>
      <c r="E9" s="62">
        <f>Grants!$D$2/12</f>
        <v>0</v>
      </c>
      <c r="F9" s="62">
        <f>Grants!$D$2/12</f>
        <v>0</v>
      </c>
      <c r="G9" s="62">
        <f>Grants!$D$2/12</f>
        <v>0</v>
      </c>
      <c r="H9" s="62">
        <f>Grants!$D$2/12</f>
        <v>0</v>
      </c>
      <c r="I9" s="62">
        <f>Grants!$D$2/12</f>
        <v>0</v>
      </c>
      <c r="J9" s="62">
        <f>Grants!$D$2/12</f>
        <v>0</v>
      </c>
      <c r="K9" s="62">
        <f>Grants!$D$2/12</f>
        <v>0</v>
      </c>
      <c r="L9" s="62">
        <f>Grants!$D$2/12</f>
        <v>0</v>
      </c>
      <c r="M9" s="62">
        <f>Grants!$D$2/12</f>
        <v>0</v>
      </c>
      <c r="N9" s="62">
        <f>SUM(B9:M9)</f>
        <v>0</v>
      </c>
    </row>
    <row r="10" spans="1:16" x14ac:dyDescent="0.2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x14ac:dyDescent="0.25">
      <c r="A11" s="41" t="s">
        <v>59</v>
      </c>
      <c r="B11" s="15">
        <f t="shared" ref="B11:M11" si="1">SUM(B5:B9)</f>
        <v>5505.3274300000003</v>
      </c>
      <c r="C11" s="15">
        <f t="shared" si="1"/>
        <v>5505.3274300000003</v>
      </c>
      <c r="D11" s="15">
        <f t="shared" si="1"/>
        <v>5505.3274300000003</v>
      </c>
      <c r="E11" s="15">
        <f t="shared" si="1"/>
        <v>5505.3274300000003</v>
      </c>
      <c r="F11" s="15">
        <f t="shared" si="1"/>
        <v>6737.9092875000006</v>
      </c>
      <c r="G11" s="15">
        <f t="shared" si="1"/>
        <v>5705.3274300000003</v>
      </c>
      <c r="H11" s="15">
        <f t="shared" si="1"/>
        <v>3202.5804187499998</v>
      </c>
      <c r="I11" s="15">
        <f t="shared" si="1"/>
        <v>2877.064335</v>
      </c>
      <c r="J11" s="15">
        <f t="shared" si="1"/>
        <v>6737.9092875000006</v>
      </c>
      <c r="K11" s="15">
        <f t="shared" si="1"/>
        <v>5505.3274300000003</v>
      </c>
      <c r="L11" s="15">
        <f t="shared" si="1"/>
        <v>5505.3274300000003</v>
      </c>
      <c r="M11" s="15">
        <f t="shared" si="1"/>
        <v>6737.9092875000006</v>
      </c>
      <c r="N11" s="15">
        <f>SUM(B11:M11)</f>
        <v>65030.66462625</v>
      </c>
    </row>
    <row r="12" spans="1:16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6" x14ac:dyDescent="0.25">
      <c r="A13" s="41" t="s">
        <v>63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20"/>
    </row>
    <row r="14" spans="1:16" x14ac:dyDescent="0.2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5" t="s">
        <v>59</v>
      </c>
    </row>
    <row r="15" spans="1:16" x14ac:dyDescent="0.25">
      <c r="A15" s="61" t="s">
        <v>138</v>
      </c>
      <c r="B15" s="62">
        <f>'Cash flow Y4'!B15*1.03</f>
        <v>4435.0509283288866</v>
      </c>
      <c r="C15" s="62">
        <f t="shared" ref="C15:C24" si="2">B15</f>
        <v>4435.0509283288866</v>
      </c>
      <c r="D15" s="62">
        <f t="shared" ref="D15:M15" si="3">C15</f>
        <v>4435.0509283288866</v>
      </c>
      <c r="E15" s="62">
        <f t="shared" si="3"/>
        <v>4435.0509283288866</v>
      </c>
      <c r="F15" s="62">
        <f t="shared" si="3"/>
        <v>4435.0509283288866</v>
      </c>
      <c r="G15" s="62">
        <f t="shared" si="3"/>
        <v>4435.0509283288866</v>
      </c>
      <c r="H15" s="62">
        <f t="shared" si="3"/>
        <v>4435.0509283288866</v>
      </c>
      <c r="I15" s="62">
        <f t="shared" si="3"/>
        <v>4435.0509283288866</v>
      </c>
      <c r="J15" s="62">
        <f t="shared" si="3"/>
        <v>4435.0509283288866</v>
      </c>
      <c r="K15" s="62">
        <f t="shared" si="3"/>
        <v>4435.0509283288866</v>
      </c>
      <c r="L15" s="62">
        <f t="shared" si="3"/>
        <v>4435.0509283288866</v>
      </c>
      <c r="M15" s="62">
        <f t="shared" si="3"/>
        <v>4435.0509283288866</v>
      </c>
      <c r="N15" s="21">
        <f>SUM(B15:M15)</f>
        <v>53220.611139946624</v>
      </c>
    </row>
    <row r="16" spans="1:16" x14ac:dyDescent="0.25">
      <c r="A16" s="61" t="s">
        <v>40</v>
      </c>
      <c r="B16" s="62">
        <f>'Cash flow Y4'!B16*1.03</f>
        <v>2.5398513183662503</v>
      </c>
      <c r="C16" s="62">
        <f t="shared" si="2"/>
        <v>2.5398513183662503</v>
      </c>
      <c r="D16" s="62">
        <f t="shared" ref="D16:M16" si="4">C16</f>
        <v>2.5398513183662503</v>
      </c>
      <c r="E16" s="62">
        <f t="shared" si="4"/>
        <v>2.5398513183662503</v>
      </c>
      <c r="F16" s="62">
        <f t="shared" si="4"/>
        <v>2.5398513183662503</v>
      </c>
      <c r="G16" s="62">
        <f t="shared" si="4"/>
        <v>2.5398513183662503</v>
      </c>
      <c r="H16" s="62">
        <f t="shared" si="4"/>
        <v>2.5398513183662503</v>
      </c>
      <c r="I16" s="62">
        <f t="shared" si="4"/>
        <v>2.5398513183662503</v>
      </c>
      <c r="J16" s="62">
        <f t="shared" si="4"/>
        <v>2.5398513183662503</v>
      </c>
      <c r="K16" s="62">
        <f t="shared" si="4"/>
        <v>2.5398513183662503</v>
      </c>
      <c r="L16" s="62">
        <f t="shared" si="4"/>
        <v>2.5398513183662503</v>
      </c>
      <c r="M16" s="62">
        <f t="shared" si="4"/>
        <v>2.5398513183662503</v>
      </c>
      <c r="N16" s="62">
        <f t="shared" ref="N16:N30" si="5">SUM(B16:M16)</f>
        <v>30.478215820394997</v>
      </c>
    </row>
    <row r="17" spans="1:16" x14ac:dyDescent="0.25">
      <c r="A17" s="61" t="s">
        <v>41</v>
      </c>
      <c r="B17" s="62">
        <f>'Cash flow Y4'!B17*1.03</f>
        <v>4.6710022501012505</v>
      </c>
      <c r="C17" s="62">
        <f t="shared" si="2"/>
        <v>4.6710022501012505</v>
      </c>
      <c r="D17" s="62">
        <f t="shared" ref="D17:M17" si="6">C17</f>
        <v>4.6710022501012505</v>
      </c>
      <c r="E17" s="62">
        <f t="shared" si="6"/>
        <v>4.6710022501012505</v>
      </c>
      <c r="F17" s="62">
        <f t="shared" si="6"/>
        <v>4.6710022501012505</v>
      </c>
      <c r="G17" s="62">
        <f t="shared" si="6"/>
        <v>4.6710022501012505</v>
      </c>
      <c r="H17" s="62">
        <f t="shared" si="6"/>
        <v>4.6710022501012505</v>
      </c>
      <c r="I17" s="62">
        <f t="shared" si="6"/>
        <v>4.6710022501012505</v>
      </c>
      <c r="J17" s="62">
        <f t="shared" si="6"/>
        <v>4.6710022501012505</v>
      </c>
      <c r="K17" s="62">
        <f t="shared" si="6"/>
        <v>4.6710022501012505</v>
      </c>
      <c r="L17" s="62">
        <f t="shared" si="6"/>
        <v>4.6710022501012505</v>
      </c>
      <c r="M17" s="62">
        <f t="shared" si="6"/>
        <v>4.6710022501012505</v>
      </c>
      <c r="N17" s="62">
        <f t="shared" si="5"/>
        <v>56.052027001215016</v>
      </c>
    </row>
    <row r="18" spans="1:16" x14ac:dyDescent="0.25">
      <c r="A18" s="61" t="s">
        <v>42</v>
      </c>
      <c r="B18" s="62">
        <f>'Cash flow Y4'!B18*1.03</f>
        <v>281.37720250000001</v>
      </c>
      <c r="C18" s="62">
        <f t="shared" si="2"/>
        <v>281.37720250000001</v>
      </c>
      <c r="D18" s="62">
        <f t="shared" ref="D18:M18" si="7">C18</f>
        <v>281.37720250000001</v>
      </c>
      <c r="E18" s="62">
        <f t="shared" si="7"/>
        <v>281.37720250000001</v>
      </c>
      <c r="F18" s="62">
        <f t="shared" si="7"/>
        <v>281.37720250000001</v>
      </c>
      <c r="G18" s="62">
        <f t="shared" si="7"/>
        <v>281.37720250000001</v>
      </c>
      <c r="H18" s="62">
        <f t="shared" si="7"/>
        <v>281.37720250000001</v>
      </c>
      <c r="I18" s="62">
        <f t="shared" si="7"/>
        <v>281.37720250000001</v>
      </c>
      <c r="J18" s="62">
        <f t="shared" si="7"/>
        <v>281.37720250000001</v>
      </c>
      <c r="K18" s="62">
        <f t="shared" si="7"/>
        <v>281.37720250000001</v>
      </c>
      <c r="L18" s="62">
        <f t="shared" si="7"/>
        <v>281.37720250000001</v>
      </c>
      <c r="M18" s="62">
        <f t="shared" si="7"/>
        <v>281.37720250000001</v>
      </c>
      <c r="N18" s="62">
        <f t="shared" si="5"/>
        <v>3376.5264299999994</v>
      </c>
    </row>
    <row r="19" spans="1:16" x14ac:dyDescent="0.25">
      <c r="A19" s="61" t="s">
        <v>64</v>
      </c>
      <c r="B19" s="62">
        <f>'Cash flow Y4'!B19*1.03</f>
        <v>36.424560240827503</v>
      </c>
      <c r="C19" s="62">
        <f t="shared" si="2"/>
        <v>36.424560240827503</v>
      </c>
      <c r="D19" s="62">
        <f t="shared" ref="D19:M19" si="8">C19</f>
        <v>36.424560240827503</v>
      </c>
      <c r="E19" s="62">
        <f t="shared" si="8"/>
        <v>36.424560240827503</v>
      </c>
      <c r="F19" s="62">
        <f t="shared" si="8"/>
        <v>36.424560240827503</v>
      </c>
      <c r="G19" s="62">
        <f t="shared" si="8"/>
        <v>36.424560240827503</v>
      </c>
      <c r="H19" s="62">
        <f t="shared" si="8"/>
        <v>36.424560240827503</v>
      </c>
      <c r="I19" s="62">
        <f t="shared" si="8"/>
        <v>36.424560240827503</v>
      </c>
      <c r="J19" s="62">
        <f t="shared" si="8"/>
        <v>36.424560240827503</v>
      </c>
      <c r="K19" s="62">
        <f t="shared" si="8"/>
        <v>36.424560240827503</v>
      </c>
      <c r="L19" s="62">
        <f t="shared" si="8"/>
        <v>36.424560240827503</v>
      </c>
      <c r="M19" s="62">
        <f t="shared" si="8"/>
        <v>36.424560240827503</v>
      </c>
      <c r="N19" s="62">
        <f t="shared" si="5"/>
        <v>437.09472288993015</v>
      </c>
    </row>
    <row r="20" spans="1:16" x14ac:dyDescent="0.25">
      <c r="A20" s="61" t="s">
        <v>44</v>
      </c>
      <c r="B20" s="62">
        <f>'Cash flow Y4'!B20*1.03</f>
        <v>16.491799215727504</v>
      </c>
      <c r="C20" s="62">
        <f t="shared" si="2"/>
        <v>16.491799215727504</v>
      </c>
      <c r="D20" s="62">
        <f t="shared" ref="D20:M20" si="9">C20</f>
        <v>16.491799215727504</v>
      </c>
      <c r="E20" s="62">
        <f t="shared" si="9"/>
        <v>16.491799215727504</v>
      </c>
      <c r="F20" s="62">
        <f t="shared" si="9"/>
        <v>16.491799215727504</v>
      </c>
      <c r="G20" s="62">
        <f t="shared" si="9"/>
        <v>16.491799215727504</v>
      </c>
      <c r="H20" s="62">
        <f t="shared" si="9"/>
        <v>16.491799215727504</v>
      </c>
      <c r="I20" s="62">
        <f t="shared" si="9"/>
        <v>16.491799215727504</v>
      </c>
      <c r="J20" s="62">
        <f t="shared" si="9"/>
        <v>16.491799215727504</v>
      </c>
      <c r="K20" s="62">
        <f t="shared" si="9"/>
        <v>16.491799215727504</v>
      </c>
      <c r="L20" s="62">
        <f t="shared" si="9"/>
        <v>16.491799215727504</v>
      </c>
      <c r="M20" s="62">
        <f t="shared" si="9"/>
        <v>16.491799215727504</v>
      </c>
      <c r="N20" s="62">
        <f t="shared" si="5"/>
        <v>197.90159058872999</v>
      </c>
    </row>
    <row r="21" spans="1:16" x14ac:dyDescent="0.25">
      <c r="A21" s="61" t="s">
        <v>45</v>
      </c>
      <c r="B21" s="62">
        <f>'Cash flow Y4'!B21*1.03</f>
        <v>23.63568501</v>
      </c>
      <c r="C21" s="62">
        <f t="shared" si="2"/>
        <v>23.63568501</v>
      </c>
      <c r="D21" s="62">
        <f t="shared" ref="D21:M21" si="10">C21</f>
        <v>23.63568501</v>
      </c>
      <c r="E21" s="62">
        <f t="shared" si="10"/>
        <v>23.63568501</v>
      </c>
      <c r="F21" s="62">
        <f t="shared" si="10"/>
        <v>23.63568501</v>
      </c>
      <c r="G21" s="62">
        <f t="shared" si="10"/>
        <v>23.63568501</v>
      </c>
      <c r="H21" s="62">
        <f t="shared" si="10"/>
        <v>23.63568501</v>
      </c>
      <c r="I21" s="62">
        <f t="shared" si="10"/>
        <v>23.63568501</v>
      </c>
      <c r="J21" s="62">
        <f t="shared" si="10"/>
        <v>23.63568501</v>
      </c>
      <c r="K21" s="62">
        <f t="shared" si="10"/>
        <v>23.63568501</v>
      </c>
      <c r="L21" s="62">
        <f t="shared" si="10"/>
        <v>23.63568501</v>
      </c>
      <c r="M21" s="62">
        <f t="shared" si="10"/>
        <v>23.63568501</v>
      </c>
      <c r="N21" s="62">
        <f t="shared" si="5"/>
        <v>283.62822011999998</v>
      </c>
    </row>
    <row r="22" spans="1:16" x14ac:dyDescent="0.25">
      <c r="A22" s="61" t="s">
        <v>46</v>
      </c>
      <c r="B22" s="62">
        <f>'Cash flow Y4'!B22*1.03</f>
        <v>14.772303131250002</v>
      </c>
      <c r="C22" s="62">
        <f t="shared" si="2"/>
        <v>14.772303131250002</v>
      </c>
      <c r="D22" s="62">
        <f t="shared" ref="D22:M22" si="11">C22</f>
        <v>14.772303131250002</v>
      </c>
      <c r="E22" s="62">
        <f t="shared" si="11"/>
        <v>14.772303131250002</v>
      </c>
      <c r="F22" s="62">
        <f t="shared" si="11"/>
        <v>14.772303131250002</v>
      </c>
      <c r="G22" s="62">
        <f t="shared" si="11"/>
        <v>14.772303131250002</v>
      </c>
      <c r="H22" s="62">
        <f t="shared" si="11"/>
        <v>14.772303131250002</v>
      </c>
      <c r="I22" s="62">
        <f t="shared" si="11"/>
        <v>14.772303131250002</v>
      </c>
      <c r="J22" s="62">
        <f t="shared" si="11"/>
        <v>14.772303131250002</v>
      </c>
      <c r="K22" s="62">
        <f t="shared" si="11"/>
        <v>14.772303131250002</v>
      </c>
      <c r="L22" s="62">
        <f t="shared" si="11"/>
        <v>14.772303131250002</v>
      </c>
      <c r="M22" s="62">
        <f t="shared" si="11"/>
        <v>14.772303131250002</v>
      </c>
      <c r="N22" s="62">
        <f t="shared" si="5"/>
        <v>177.26763757500001</v>
      </c>
    </row>
    <row r="23" spans="1:16" x14ac:dyDescent="0.25">
      <c r="A23" s="61" t="s">
        <v>47</v>
      </c>
      <c r="B23" s="62">
        <f>'Cash flow Y4'!B23*1.03</f>
        <v>262.61872233333338</v>
      </c>
      <c r="C23" s="62">
        <f t="shared" si="2"/>
        <v>262.61872233333338</v>
      </c>
      <c r="D23" s="62">
        <f t="shared" ref="D23:M23" si="12">C23</f>
        <v>262.61872233333338</v>
      </c>
      <c r="E23" s="62">
        <f t="shared" si="12"/>
        <v>262.61872233333338</v>
      </c>
      <c r="F23" s="62">
        <f t="shared" si="12"/>
        <v>262.61872233333338</v>
      </c>
      <c r="G23" s="62">
        <f t="shared" si="12"/>
        <v>262.61872233333338</v>
      </c>
      <c r="H23" s="62">
        <f t="shared" si="12"/>
        <v>262.61872233333338</v>
      </c>
      <c r="I23" s="62">
        <f t="shared" si="12"/>
        <v>262.61872233333338</v>
      </c>
      <c r="J23" s="62">
        <f t="shared" si="12"/>
        <v>262.61872233333338</v>
      </c>
      <c r="K23" s="62">
        <f t="shared" si="12"/>
        <v>262.61872233333338</v>
      </c>
      <c r="L23" s="62">
        <f t="shared" si="12"/>
        <v>262.61872233333338</v>
      </c>
      <c r="M23" s="62">
        <f t="shared" si="12"/>
        <v>262.61872233333338</v>
      </c>
      <c r="N23" s="62">
        <f t="shared" si="5"/>
        <v>3151.4246680000015</v>
      </c>
    </row>
    <row r="24" spans="1:16" x14ac:dyDescent="0.25">
      <c r="A24" s="61" t="s">
        <v>48</v>
      </c>
      <c r="B24" s="62">
        <f>'Cash flow Y4'!B24*1.03</f>
        <v>23.63568501</v>
      </c>
      <c r="C24" s="62">
        <f t="shared" si="2"/>
        <v>23.63568501</v>
      </c>
      <c r="D24" s="62">
        <f t="shared" ref="D24:M24" si="13">C24</f>
        <v>23.63568501</v>
      </c>
      <c r="E24" s="62">
        <f t="shared" si="13"/>
        <v>23.63568501</v>
      </c>
      <c r="F24" s="62">
        <f t="shared" si="13"/>
        <v>23.63568501</v>
      </c>
      <c r="G24" s="62">
        <f t="shared" si="13"/>
        <v>23.63568501</v>
      </c>
      <c r="H24" s="62">
        <f t="shared" si="13"/>
        <v>23.63568501</v>
      </c>
      <c r="I24" s="62">
        <f t="shared" si="13"/>
        <v>23.63568501</v>
      </c>
      <c r="J24" s="62">
        <f t="shared" si="13"/>
        <v>23.63568501</v>
      </c>
      <c r="K24" s="62">
        <f t="shared" si="13"/>
        <v>23.63568501</v>
      </c>
      <c r="L24" s="62">
        <f t="shared" si="13"/>
        <v>23.63568501</v>
      </c>
      <c r="M24" s="62">
        <f t="shared" si="13"/>
        <v>23.63568501</v>
      </c>
      <c r="N24" s="62">
        <f t="shared" si="5"/>
        <v>283.62822011999998</v>
      </c>
    </row>
    <row r="25" spans="1:16" x14ac:dyDescent="0.25">
      <c r="A25" s="61" t="s">
        <v>49</v>
      </c>
      <c r="B25" s="62">
        <f>'Cash flow Y4'!B25*1.03</f>
        <v>46.896200416666673</v>
      </c>
      <c r="C25" s="62">
        <f>('Cash flow Y2'!C25)*1.03</f>
        <v>44.204166666666666</v>
      </c>
      <c r="D25" s="62">
        <f>('Cash flow Y2'!D25)*1.03</f>
        <v>44.204166666666666</v>
      </c>
      <c r="E25" s="62">
        <f>('Cash flow Y2'!E25)*1.03</f>
        <v>44.204166666666666</v>
      </c>
      <c r="F25" s="62">
        <f>('Cash flow Y2'!F25)*1.03</f>
        <v>44.204166666666666</v>
      </c>
      <c r="G25" s="62">
        <f>('Cash flow Y2'!G25)*1.03</f>
        <v>44.204166666666666</v>
      </c>
      <c r="H25" s="62">
        <f>('Cash flow Y2'!H25)*1.03</f>
        <v>44.204166666666666</v>
      </c>
      <c r="I25" s="62">
        <f>('Cash flow Y2'!I25)*1.03</f>
        <v>44.204166666666666</v>
      </c>
      <c r="J25" s="62">
        <f>('Cash flow Y2'!J25)*1.03</f>
        <v>44.204166666666666</v>
      </c>
      <c r="K25" s="62">
        <f>('Cash flow Y2'!K25)*1.03</f>
        <v>44.204166666666666</v>
      </c>
      <c r="L25" s="62">
        <f>('Cash flow Y2'!L25)*1.03</f>
        <v>44.204166666666666</v>
      </c>
      <c r="M25" s="62">
        <f>('Cash flow Y2'!M25)*1.03</f>
        <v>44.204166666666666</v>
      </c>
      <c r="N25" s="62">
        <f t="shared" si="5"/>
        <v>533.14203374999988</v>
      </c>
    </row>
    <row r="26" spans="1:16" x14ac:dyDescent="0.25">
      <c r="A26" s="61" t="s">
        <v>50</v>
      </c>
      <c r="B26" s="62">
        <f>'Cash flow Y4'!B26*1.03</f>
        <v>0.46896200416666672</v>
      </c>
      <c r="C26" s="62">
        <f>('Cash flow Y2'!C26)*1.03</f>
        <v>0.44204166666666672</v>
      </c>
      <c r="D26" s="62">
        <f>('Cash flow Y2'!D26)*1.03</f>
        <v>0.44204166666666672</v>
      </c>
      <c r="E26" s="62">
        <f>('Cash flow Y2'!E26)*1.03</f>
        <v>0.44204166666666672</v>
      </c>
      <c r="F26" s="62">
        <f>('Cash flow Y2'!F26)*1.03</f>
        <v>0.44204166666666672</v>
      </c>
      <c r="G26" s="62">
        <f>('Cash flow Y2'!G26)*1.03</f>
        <v>0.44204166666666672</v>
      </c>
      <c r="H26" s="62">
        <f>('Cash flow Y2'!H26)*1.03</f>
        <v>0.44204166666666672</v>
      </c>
      <c r="I26" s="62">
        <f>('Cash flow Y2'!I26)*1.03</f>
        <v>0.44204166666666672</v>
      </c>
      <c r="J26" s="62">
        <f>('Cash flow Y2'!J26)*1.03</f>
        <v>0.44204166666666672</v>
      </c>
      <c r="K26" s="62">
        <f>('Cash flow Y2'!K26)*1.03</f>
        <v>0.44204166666666672</v>
      </c>
      <c r="L26" s="62">
        <f>('Cash flow Y2'!L26)*1.03</f>
        <v>0.44204166666666672</v>
      </c>
      <c r="M26" s="62">
        <f>('Cash flow Y2'!M26)*1.03</f>
        <v>0.44204166666666672</v>
      </c>
      <c r="N26" s="62">
        <f t="shared" si="5"/>
        <v>5.3314203375</v>
      </c>
    </row>
    <row r="27" spans="1:16" x14ac:dyDescent="0.25">
      <c r="A27" s="61" t="s">
        <v>51</v>
      </c>
      <c r="B27" s="62">
        <f>'Cash flow Y4'!B27*1.03</f>
        <v>37.817096016000008</v>
      </c>
      <c r="C27" s="62">
        <f>('Cash flow Y2'!C27)*1.03</f>
        <v>35.646240000000006</v>
      </c>
      <c r="D27" s="62">
        <f>('Cash flow Y2'!D27)*1.03</f>
        <v>35.646240000000006</v>
      </c>
      <c r="E27" s="62">
        <f>('Cash flow Y2'!E27)*1.03</f>
        <v>35.646240000000006</v>
      </c>
      <c r="F27" s="62">
        <f>('Cash flow Y2'!F27)*1.03</f>
        <v>35.646240000000006</v>
      </c>
      <c r="G27" s="62">
        <f>('Cash flow Y2'!G27)*1.03</f>
        <v>35.646240000000006</v>
      </c>
      <c r="H27" s="62">
        <f>('Cash flow Y2'!H27)*1.03</f>
        <v>35.646240000000006</v>
      </c>
      <c r="I27" s="62">
        <f>('Cash flow Y2'!I27)*1.03</f>
        <v>35.646240000000006</v>
      </c>
      <c r="J27" s="62">
        <f>('Cash flow Y2'!J27)*1.03</f>
        <v>35.646240000000006</v>
      </c>
      <c r="K27" s="62">
        <f>('Cash flow Y2'!K27)*1.03</f>
        <v>35.646240000000006</v>
      </c>
      <c r="L27" s="62">
        <f>('Cash flow Y2'!L27)*1.03</f>
        <v>35.646240000000006</v>
      </c>
      <c r="M27" s="62">
        <f>('Cash flow Y2'!M27)*1.03</f>
        <v>35.646240000000006</v>
      </c>
      <c r="N27" s="62">
        <f t="shared" si="5"/>
        <v>429.9257360160002</v>
      </c>
    </row>
    <row r="28" spans="1:16" x14ac:dyDescent="0.25">
      <c r="A28" s="61" t="s">
        <v>52</v>
      </c>
      <c r="B28" s="62">
        <f>'Cash flow Y4'!B28*1.03</f>
        <v>22.510176200000004</v>
      </c>
      <c r="C28" s="62">
        <f>('Cash flow Y2'!C28)*1.03</f>
        <v>21.218000000000004</v>
      </c>
      <c r="D28" s="62">
        <f>('Cash flow Y2'!D28)*1.03</f>
        <v>21.218000000000004</v>
      </c>
      <c r="E28" s="62">
        <f>('Cash flow Y2'!E28)*1.03</f>
        <v>21.218000000000004</v>
      </c>
      <c r="F28" s="62">
        <f>('Cash flow Y2'!F28)*1.03</f>
        <v>21.218000000000004</v>
      </c>
      <c r="G28" s="62">
        <f>('Cash flow Y2'!G28)*1.03</f>
        <v>21.218000000000004</v>
      </c>
      <c r="H28" s="62">
        <f>('Cash flow Y2'!H28)*1.03</f>
        <v>21.218000000000004</v>
      </c>
      <c r="I28" s="62">
        <f>('Cash flow Y2'!I28)*1.03</f>
        <v>21.218000000000004</v>
      </c>
      <c r="J28" s="62">
        <f>('Cash flow Y2'!J28)*1.03</f>
        <v>21.218000000000004</v>
      </c>
      <c r="K28" s="62">
        <f>('Cash flow Y2'!K28)*1.03</f>
        <v>21.218000000000004</v>
      </c>
      <c r="L28" s="62">
        <f>('Cash flow Y2'!L28)*1.03</f>
        <v>21.218000000000004</v>
      </c>
      <c r="M28" s="62">
        <f>('Cash flow Y2'!M28)*1.03</f>
        <v>21.218000000000004</v>
      </c>
      <c r="N28" s="62">
        <f t="shared" si="5"/>
        <v>255.90817620000013</v>
      </c>
    </row>
    <row r="29" spans="1:16" x14ac:dyDescent="0.25">
      <c r="A29" s="61" t="s">
        <v>53</v>
      </c>
      <c r="B29" s="62">
        <f>'Cash flow Y4'!B29*1.03</f>
        <v>9.3311714779062509</v>
      </c>
      <c r="C29" s="62">
        <f t="shared" ref="C29:M29" si="14">B29</f>
        <v>9.3311714779062509</v>
      </c>
      <c r="D29" s="62">
        <f t="shared" si="14"/>
        <v>9.3311714779062509</v>
      </c>
      <c r="E29" s="62">
        <f t="shared" si="14"/>
        <v>9.3311714779062509</v>
      </c>
      <c r="F29" s="62">
        <f t="shared" si="14"/>
        <v>9.3311714779062509</v>
      </c>
      <c r="G29" s="62">
        <f t="shared" si="14"/>
        <v>9.3311714779062509</v>
      </c>
      <c r="H29" s="62">
        <f t="shared" si="14"/>
        <v>9.3311714779062509</v>
      </c>
      <c r="I29" s="62">
        <f t="shared" si="14"/>
        <v>9.3311714779062509</v>
      </c>
      <c r="J29" s="62">
        <f t="shared" si="14"/>
        <v>9.3311714779062509</v>
      </c>
      <c r="K29" s="62">
        <f t="shared" si="14"/>
        <v>9.3311714779062509</v>
      </c>
      <c r="L29" s="62">
        <f t="shared" si="14"/>
        <v>9.3311714779062509</v>
      </c>
      <c r="M29" s="62">
        <f t="shared" si="14"/>
        <v>9.3311714779062509</v>
      </c>
      <c r="N29" s="62">
        <f t="shared" si="5"/>
        <v>111.97405773487502</v>
      </c>
    </row>
    <row r="30" spans="1:16" x14ac:dyDescent="0.25">
      <c r="A30" s="61" t="s">
        <v>54</v>
      </c>
      <c r="B30" s="62">
        <f>'Cash flow Y4'!B30*1.03</f>
        <v>8.8929264850125023</v>
      </c>
      <c r="C30" s="62">
        <f t="shared" ref="C30:M30" si="15">B30</f>
        <v>8.8929264850125023</v>
      </c>
      <c r="D30" s="62">
        <f t="shared" si="15"/>
        <v>8.8929264850125023</v>
      </c>
      <c r="E30" s="62">
        <f t="shared" si="15"/>
        <v>8.8929264850125023</v>
      </c>
      <c r="F30" s="62">
        <f t="shared" si="15"/>
        <v>8.8929264850125023</v>
      </c>
      <c r="G30" s="62">
        <f t="shared" si="15"/>
        <v>8.8929264850125023</v>
      </c>
      <c r="H30" s="62">
        <f t="shared" si="15"/>
        <v>8.8929264850125023</v>
      </c>
      <c r="I30" s="62">
        <f t="shared" si="15"/>
        <v>8.8929264850125023</v>
      </c>
      <c r="J30" s="62">
        <f t="shared" si="15"/>
        <v>8.8929264850125023</v>
      </c>
      <c r="K30" s="62">
        <f t="shared" si="15"/>
        <v>8.8929264850125023</v>
      </c>
      <c r="L30" s="62">
        <f t="shared" si="15"/>
        <v>8.8929264850125023</v>
      </c>
      <c r="M30" s="62">
        <f t="shared" si="15"/>
        <v>8.8929264850125023</v>
      </c>
      <c r="N30" s="62">
        <f t="shared" si="5"/>
        <v>106.71511782015006</v>
      </c>
    </row>
    <row r="31" spans="1:16" ht="1.5" customHeight="1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6" x14ac:dyDescent="0.25">
      <c r="A32" s="41" t="s">
        <v>59</v>
      </c>
      <c r="B32" s="15">
        <f t="shared" ref="B32:M32" si="16">SUM(B15:B30)</f>
        <v>5227.1342719382446</v>
      </c>
      <c r="C32" s="15">
        <f t="shared" si="16"/>
        <v>5220.9522856347439</v>
      </c>
      <c r="D32" s="15">
        <f t="shared" si="16"/>
        <v>5220.9522856347439</v>
      </c>
      <c r="E32" s="15">
        <f t="shared" si="16"/>
        <v>5220.9522856347439</v>
      </c>
      <c r="F32" s="15">
        <f t="shared" si="16"/>
        <v>5220.9522856347439</v>
      </c>
      <c r="G32" s="15">
        <f t="shared" si="16"/>
        <v>5220.9522856347439</v>
      </c>
      <c r="H32" s="15">
        <f t="shared" si="16"/>
        <v>5220.9522856347439</v>
      </c>
      <c r="I32" s="15">
        <f t="shared" si="16"/>
        <v>5220.9522856347439</v>
      </c>
      <c r="J32" s="15">
        <f t="shared" si="16"/>
        <v>5220.9522856347439</v>
      </c>
      <c r="K32" s="15">
        <f t="shared" si="16"/>
        <v>5220.9522856347439</v>
      </c>
      <c r="L32" s="15">
        <f t="shared" si="16"/>
        <v>5220.9522856347439</v>
      </c>
      <c r="M32" s="15">
        <f t="shared" si="16"/>
        <v>5220.9522856347439</v>
      </c>
      <c r="N32" s="15">
        <f>SUM(B32:M32)</f>
        <v>62657.609413920436</v>
      </c>
      <c r="O32" s="61" t="s">
        <v>165</v>
      </c>
      <c r="P32" s="62"/>
    </row>
    <row r="34" spans="1:15" x14ac:dyDescent="0.25">
      <c r="A34" s="61" t="s">
        <v>65</v>
      </c>
      <c r="B34" s="62">
        <f t="shared" ref="B34:M34" si="17">SUM(B11-B32)</f>
        <v>278.19315806175564</v>
      </c>
      <c r="C34" s="62">
        <f t="shared" si="17"/>
        <v>284.37514436525635</v>
      </c>
      <c r="D34" s="62">
        <f t="shared" si="17"/>
        <v>284.37514436525635</v>
      </c>
      <c r="E34" s="62">
        <f t="shared" si="17"/>
        <v>284.37514436525635</v>
      </c>
      <c r="F34" s="62">
        <f t="shared" si="17"/>
        <v>1516.9570018652566</v>
      </c>
      <c r="G34" s="62">
        <f t="shared" si="17"/>
        <v>484.37514436525635</v>
      </c>
      <c r="H34" s="62">
        <f t="shared" si="17"/>
        <v>-2018.3718668847441</v>
      </c>
      <c r="I34" s="62">
        <f t="shared" si="17"/>
        <v>-2343.8879506347439</v>
      </c>
      <c r="J34" s="62">
        <f t="shared" si="17"/>
        <v>1516.9570018652566</v>
      </c>
      <c r="K34" s="62">
        <f t="shared" si="17"/>
        <v>284.37514436525635</v>
      </c>
      <c r="L34" s="62">
        <f t="shared" si="17"/>
        <v>284.37514436525635</v>
      </c>
      <c r="M34" s="62">
        <f t="shared" si="17"/>
        <v>1516.9570018652566</v>
      </c>
      <c r="N34" s="62">
        <f>SUM(B34:M34)</f>
        <v>2373.0552123295756</v>
      </c>
    </row>
    <row r="37" spans="1:15" x14ac:dyDescent="0.25">
      <c r="N37" s="62">
        <f>N5+N6+N7</f>
        <v>48530.664626250007</v>
      </c>
      <c r="O37" s="61" t="s">
        <v>166</v>
      </c>
    </row>
    <row r="38" spans="1:15" x14ac:dyDescent="0.25">
      <c r="N38" s="23">
        <f>N37/N11</f>
        <v>0.74627354502940646</v>
      </c>
      <c r="O38" s="61" t="s">
        <v>167</v>
      </c>
    </row>
    <row r="39" spans="1:15" x14ac:dyDescent="0.25">
      <c r="N39" s="62">
        <f>N37-N32</f>
        <v>-14126.944787670429</v>
      </c>
      <c r="O39" s="61" t="s">
        <v>168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opLeftCell="A40" zoomScale="70" zoomScaleNormal="70" workbookViewId="0">
      <selection activeCell="C43" sqref="C43"/>
    </sheetView>
  </sheetViews>
  <sheetFormatPr defaultRowHeight="15" x14ac:dyDescent="0.25"/>
  <cols>
    <col min="1" max="1" width="17.7109375" customWidth="1"/>
    <col min="2" max="2" width="28.85546875" customWidth="1"/>
    <col min="3" max="3" width="18.28515625" customWidth="1"/>
    <col min="4" max="4" width="8.7109375" customWidth="1"/>
    <col min="5" max="5" width="16.140625" hidden="1" customWidth="1"/>
    <col min="6" max="6" width="13.140625" customWidth="1"/>
    <col min="7" max="7" width="7" customWidth="1"/>
    <col min="8" max="8" width="24" customWidth="1"/>
    <col min="9" max="9" width="22.42578125" customWidth="1"/>
    <col min="10" max="10" width="7.7109375" customWidth="1"/>
    <col min="11" max="11" width="10" customWidth="1"/>
    <col min="12" max="12" width="6.85546875" customWidth="1"/>
    <col min="13" max="13" width="18.85546875" customWidth="1"/>
    <col min="14" max="14" width="17.140625" customWidth="1"/>
    <col min="16" max="16" width="20.5703125" customWidth="1"/>
    <col min="17" max="17" width="13.85546875" bestFit="1" customWidth="1"/>
    <col min="18" max="18" width="6.85546875" customWidth="1"/>
    <col min="19" max="19" width="19.140625" customWidth="1"/>
    <col min="20" max="20" width="6.28515625" customWidth="1"/>
    <col min="21" max="21" width="6.85546875" customWidth="1"/>
  </cols>
  <sheetData>
    <row r="1" spans="1:17" x14ac:dyDescent="0.25">
      <c r="A1" s="3" t="s">
        <v>79</v>
      </c>
    </row>
    <row r="2" spans="1:17" ht="15.75" thickBot="1" x14ac:dyDescent="0.3">
      <c r="A2" s="3"/>
    </row>
    <row r="3" spans="1:17" x14ac:dyDescent="0.25">
      <c r="B3" s="3" t="s">
        <v>3</v>
      </c>
      <c r="C3" s="3" t="s">
        <v>10</v>
      </c>
      <c r="D3" s="3" t="s">
        <v>9</v>
      </c>
      <c r="E3" s="3"/>
      <c r="F3" s="3" t="s">
        <v>32</v>
      </c>
      <c r="H3" s="3" t="s">
        <v>87</v>
      </c>
      <c r="I3" s="3" t="s">
        <v>72</v>
      </c>
      <c r="J3" s="3" t="s">
        <v>73</v>
      </c>
      <c r="M3" s="6" t="s">
        <v>16</v>
      </c>
      <c r="N3" s="7"/>
      <c r="O3" s="7"/>
      <c r="P3" s="8"/>
    </row>
    <row r="4" spans="1:17" x14ac:dyDescent="0.25">
      <c r="A4" t="s">
        <v>34</v>
      </c>
      <c r="B4" t="s">
        <v>12</v>
      </c>
      <c r="C4" t="s">
        <v>17</v>
      </c>
      <c r="D4">
        <v>2</v>
      </c>
      <c r="E4" s="4">
        <f>IF(ISNA(VLOOKUP(C4,$N$4:$O$14,2,FALSE))," ",VLOOKUP(C4,$N$4:$O$14,2,FALSE))</f>
        <v>12</v>
      </c>
      <c r="F4" s="4">
        <f>D4*E4</f>
        <v>24</v>
      </c>
      <c r="H4">
        <v>12</v>
      </c>
      <c r="I4">
        <v>12</v>
      </c>
      <c r="M4" s="9"/>
      <c r="N4" s="10" t="s">
        <v>17</v>
      </c>
      <c r="O4" s="11">
        <v>12</v>
      </c>
      <c r="P4" s="1"/>
    </row>
    <row r="5" spans="1:17" x14ac:dyDescent="0.25">
      <c r="A5" t="s">
        <v>35</v>
      </c>
      <c r="B5" t="s">
        <v>140</v>
      </c>
      <c r="C5" t="s">
        <v>17</v>
      </c>
      <c r="D5">
        <v>2</v>
      </c>
      <c r="E5" s="4">
        <f>IF(ISNA(VLOOKUP(C5,$N$4:$O$14,2,FALSE))," ",VLOOKUP(C5,$N$4:$O$14,2,FALSE))</f>
        <v>12</v>
      </c>
      <c r="F5" s="4">
        <f>D5*E5</f>
        <v>24</v>
      </c>
      <c r="H5">
        <v>12</v>
      </c>
      <c r="I5">
        <v>8</v>
      </c>
      <c r="J5">
        <v>10</v>
      </c>
      <c r="M5" s="9"/>
      <c r="N5" s="10" t="s">
        <v>100</v>
      </c>
      <c r="O5" s="11">
        <v>12</v>
      </c>
      <c r="P5" s="1"/>
    </row>
    <row r="6" spans="1:17" x14ac:dyDescent="0.25">
      <c r="A6" t="s">
        <v>35</v>
      </c>
      <c r="B6" t="s">
        <v>13</v>
      </c>
      <c r="C6" t="s">
        <v>19</v>
      </c>
      <c r="D6">
        <v>2</v>
      </c>
      <c r="E6" s="4">
        <f>IF(ISNA(VLOOKUP(C6,$N$4:$O$14,2,FALSE))," ",VLOOKUP(C6,$N$4:$O$14,2,FALSE))</f>
        <v>15</v>
      </c>
      <c r="F6" s="4">
        <f>D6*E6</f>
        <v>30</v>
      </c>
      <c r="H6">
        <v>10</v>
      </c>
      <c r="I6">
        <v>15</v>
      </c>
      <c r="J6">
        <v>15</v>
      </c>
      <c r="M6" s="9"/>
      <c r="N6" s="10" t="s">
        <v>18</v>
      </c>
      <c r="O6" s="11">
        <v>12</v>
      </c>
      <c r="P6" s="1"/>
    </row>
    <row r="7" spans="1:17" x14ac:dyDescent="0.25">
      <c r="A7" t="s">
        <v>36</v>
      </c>
      <c r="B7" t="s">
        <v>14</v>
      </c>
      <c r="C7" t="s">
        <v>22</v>
      </c>
      <c r="D7">
        <v>2</v>
      </c>
      <c r="E7" s="4">
        <f>IF(ISNA(VLOOKUP(C7,$N$4:$O$14,2,FALSE))," ",VLOOKUP(C7,$N$4:$O$14,2,FALSE))</f>
        <v>0</v>
      </c>
      <c r="F7" s="4">
        <f>D7*E7</f>
        <v>0</v>
      </c>
      <c r="H7">
        <v>10</v>
      </c>
      <c r="J7">
        <v>8</v>
      </c>
      <c r="M7" s="9"/>
      <c r="N7" s="10" t="s">
        <v>19</v>
      </c>
      <c r="O7" s="11">
        <v>15</v>
      </c>
      <c r="P7" s="1"/>
    </row>
    <row r="8" spans="1:17" x14ac:dyDescent="0.25">
      <c r="E8" s="4"/>
      <c r="F8" s="4"/>
      <c r="M8" s="9"/>
      <c r="N8" s="10" t="s">
        <v>20</v>
      </c>
      <c r="O8" s="11">
        <v>15</v>
      </c>
      <c r="P8" s="1"/>
    </row>
    <row r="9" spans="1:17" x14ac:dyDescent="0.25">
      <c r="B9" s="3" t="s">
        <v>4</v>
      </c>
      <c r="C9" s="3" t="s">
        <v>10</v>
      </c>
      <c r="D9" s="3" t="s">
        <v>9</v>
      </c>
      <c r="E9" s="4"/>
      <c r="F9" s="3" t="s">
        <v>32</v>
      </c>
      <c r="I9" s="3" t="s">
        <v>72</v>
      </c>
      <c r="J9" s="3" t="s">
        <v>73</v>
      </c>
      <c r="M9" s="9"/>
      <c r="N9" s="10" t="s">
        <v>21</v>
      </c>
      <c r="O9" s="11">
        <v>5</v>
      </c>
      <c r="P9" s="1"/>
    </row>
    <row r="10" spans="1:17" x14ac:dyDescent="0.25">
      <c r="A10" t="s">
        <v>34</v>
      </c>
      <c r="B10" t="s">
        <v>15</v>
      </c>
      <c r="C10" t="s">
        <v>17</v>
      </c>
      <c r="D10">
        <v>2</v>
      </c>
      <c r="E10" s="4">
        <f>IF(ISNA(VLOOKUP(C10,$N$4:$O$14,2,FALSE))," ",VLOOKUP(C10,$N$4:$O$14,2,FALSE))</f>
        <v>12</v>
      </c>
      <c r="F10" s="4">
        <f>D10*E10</f>
        <v>24</v>
      </c>
      <c r="H10">
        <v>12</v>
      </c>
      <c r="I10">
        <v>6</v>
      </c>
      <c r="M10" s="9"/>
      <c r="N10" s="10" t="s">
        <v>75</v>
      </c>
      <c r="O10" s="12">
        <v>16</v>
      </c>
      <c r="P10" s="1"/>
    </row>
    <row r="11" spans="1:17" x14ac:dyDescent="0.25">
      <c r="A11" t="s">
        <v>34</v>
      </c>
      <c r="B11" t="s">
        <v>23</v>
      </c>
      <c r="C11" t="s">
        <v>19</v>
      </c>
      <c r="D11">
        <v>2</v>
      </c>
      <c r="E11" s="4">
        <f>IF(ISNA(VLOOKUP(C11,$N$4:$O$14,2,FALSE))," ",VLOOKUP(C11,$N$4:$O$14,2,FALSE))</f>
        <v>15</v>
      </c>
      <c r="F11" s="4">
        <f>D11*E11</f>
        <v>30</v>
      </c>
      <c r="H11">
        <v>12</v>
      </c>
      <c r="J11">
        <v>6</v>
      </c>
      <c r="M11" s="9"/>
      <c r="N11" s="10" t="s">
        <v>76</v>
      </c>
      <c r="O11" s="12">
        <v>30</v>
      </c>
      <c r="P11" s="1"/>
    </row>
    <row r="12" spans="1:17" x14ac:dyDescent="0.25">
      <c r="A12" t="s">
        <v>37</v>
      </c>
      <c r="B12" t="s">
        <v>13</v>
      </c>
      <c r="C12" t="s">
        <v>19</v>
      </c>
      <c r="D12">
        <v>3</v>
      </c>
      <c r="E12" s="4">
        <f>IF(ISNA(VLOOKUP(C12,$N$4:$O$14,2,FALSE))," ",VLOOKUP(C12,$N$4:$O$14,2,FALSE))</f>
        <v>15</v>
      </c>
      <c r="F12" s="4">
        <f>D12*E12</f>
        <v>45</v>
      </c>
      <c r="H12">
        <v>10</v>
      </c>
      <c r="I12">
        <v>15</v>
      </c>
      <c r="J12">
        <v>15</v>
      </c>
      <c r="M12" s="9"/>
      <c r="N12" s="10" t="s">
        <v>22</v>
      </c>
      <c r="O12" s="12">
        <v>0</v>
      </c>
      <c r="P12" s="1"/>
      <c r="Q12" t="s">
        <v>71</v>
      </c>
    </row>
    <row r="13" spans="1:17" x14ac:dyDescent="0.25">
      <c r="A13" t="s">
        <v>36</v>
      </c>
      <c r="B13" t="s">
        <v>1</v>
      </c>
      <c r="C13" t="s">
        <v>19</v>
      </c>
      <c r="D13">
        <v>1</v>
      </c>
      <c r="E13" s="4">
        <f>IF(ISNA(VLOOKUP(C13,$N$4:$O$14,2,FALSE))," ",VLOOKUP(C13,$N$4:$O$14,2,FALSE))</f>
        <v>15</v>
      </c>
      <c r="F13" s="4">
        <f>D13*E13</f>
        <v>15</v>
      </c>
      <c r="H13">
        <v>12</v>
      </c>
      <c r="I13">
        <v>8</v>
      </c>
      <c r="M13" s="9"/>
      <c r="P13" s="1"/>
    </row>
    <row r="14" spans="1:17" ht="15.75" thickBot="1" x14ac:dyDescent="0.3">
      <c r="A14" t="s">
        <v>36</v>
      </c>
      <c r="B14" t="s">
        <v>2</v>
      </c>
      <c r="C14" t="s">
        <v>17</v>
      </c>
      <c r="D14">
        <v>2</v>
      </c>
      <c r="E14" s="4">
        <f>IF(ISNA(VLOOKUP(C14,$N$4:$O$14,2,FALSE))," ",VLOOKUP(C14,$N$4:$O$14,2,FALSE))</f>
        <v>12</v>
      </c>
      <c r="F14" s="4">
        <f>D14*E14</f>
        <v>24</v>
      </c>
      <c r="H14">
        <v>10</v>
      </c>
      <c r="I14">
        <v>10</v>
      </c>
      <c r="M14" s="13"/>
      <c r="N14" s="14"/>
      <c r="O14" s="14"/>
      <c r="P14" s="2"/>
    </row>
    <row r="15" spans="1:17" x14ac:dyDescent="0.25">
      <c r="E15" s="4"/>
      <c r="F15" s="4"/>
    </row>
    <row r="16" spans="1:17" x14ac:dyDescent="0.25">
      <c r="B16" s="3" t="s">
        <v>5</v>
      </c>
      <c r="C16" s="3" t="s">
        <v>10</v>
      </c>
      <c r="D16" s="3" t="s">
        <v>9</v>
      </c>
      <c r="E16" s="4"/>
      <c r="F16" s="3" t="s">
        <v>32</v>
      </c>
      <c r="I16" s="3" t="s">
        <v>72</v>
      </c>
      <c r="J16" s="3" t="s">
        <v>73</v>
      </c>
    </row>
    <row r="17" spans="1:10" x14ac:dyDescent="0.25">
      <c r="A17" t="s">
        <v>34</v>
      </c>
      <c r="B17" t="s">
        <v>24</v>
      </c>
      <c r="C17" t="s">
        <v>19</v>
      </c>
      <c r="D17">
        <v>2</v>
      </c>
      <c r="E17" s="4">
        <f>IF(ISNA(VLOOKUP(C17,$N$4:$O$14,2,FALSE))," ",VLOOKUP(C17,$N$4:$O$14,2,FALSE))</f>
        <v>15</v>
      </c>
      <c r="F17" s="4">
        <f>D17*E17</f>
        <v>30</v>
      </c>
      <c r="H17">
        <v>10</v>
      </c>
      <c r="I17">
        <v>15</v>
      </c>
      <c r="J17">
        <v>15</v>
      </c>
    </row>
    <row r="18" spans="1:10" x14ac:dyDescent="0.25">
      <c r="A18" t="s">
        <v>34</v>
      </c>
      <c r="B18" t="s">
        <v>136</v>
      </c>
      <c r="C18" t="s">
        <v>17</v>
      </c>
      <c r="D18">
        <v>3</v>
      </c>
      <c r="E18" s="4">
        <f>IF(ISNA(VLOOKUP(C18,$N$4:$O$14,2,FALSE))," ",VLOOKUP(C18,$N$4:$O$14,2,FALSE))</f>
        <v>12</v>
      </c>
      <c r="F18" s="4">
        <f>D18*E18</f>
        <v>36</v>
      </c>
      <c r="H18">
        <v>10</v>
      </c>
      <c r="I18">
        <v>15</v>
      </c>
      <c r="J18">
        <v>15</v>
      </c>
    </row>
    <row r="19" spans="1:10" x14ac:dyDescent="0.25">
      <c r="A19" t="s">
        <v>36</v>
      </c>
      <c r="B19" t="s">
        <v>24</v>
      </c>
      <c r="C19" t="s">
        <v>20</v>
      </c>
      <c r="D19">
        <v>3</v>
      </c>
      <c r="E19" s="4">
        <f>IF(ISNA(VLOOKUP(C19,$N$4:$O$14,2,FALSE))," ",VLOOKUP(C19,$N$4:$O$14,2,FALSE))</f>
        <v>15</v>
      </c>
      <c r="F19" s="4">
        <f>D19*E19</f>
        <v>45</v>
      </c>
      <c r="H19">
        <v>10</v>
      </c>
      <c r="I19">
        <v>15</v>
      </c>
      <c r="J19">
        <v>15</v>
      </c>
    </row>
    <row r="20" spans="1:10" x14ac:dyDescent="0.25">
      <c r="E20" s="4"/>
      <c r="F20" s="4"/>
    </row>
    <row r="21" spans="1:10" x14ac:dyDescent="0.25">
      <c r="B21" s="3" t="s">
        <v>6</v>
      </c>
      <c r="C21" s="3" t="s">
        <v>10</v>
      </c>
      <c r="D21" s="3" t="s">
        <v>9</v>
      </c>
      <c r="E21" s="4"/>
      <c r="F21" s="3" t="s">
        <v>32</v>
      </c>
      <c r="I21" s="3" t="s">
        <v>72</v>
      </c>
      <c r="J21" s="3" t="s">
        <v>73</v>
      </c>
    </row>
    <row r="22" spans="1:10" x14ac:dyDescent="0.25">
      <c r="A22" t="s">
        <v>34</v>
      </c>
      <c r="B22" t="s">
        <v>25</v>
      </c>
      <c r="C22" t="s">
        <v>17</v>
      </c>
      <c r="D22">
        <v>3</v>
      </c>
      <c r="E22" s="4">
        <f>IF(ISNA(VLOOKUP(C22,$N$4:$O$14,2,FALSE))," ",VLOOKUP(C22,$N$4:$O$14,2,FALSE))</f>
        <v>12</v>
      </c>
      <c r="F22" s="4">
        <f>D22*E22</f>
        <v>36</v>
      </c>
      <c r="H22">
        <v>10</v>
      </c>
      <c r="I22">
        <v>8</v>
      </c>
    </row>
    <row r="23" spans="1:10" x14ac:dyDescent="0.25">
      <c r="A23" t="s">
        <v>34</v>
      </c>
      <c r="B23" t="s">
        <v>0</v>
      </c>
      <c r="C23" t="s">
        <v>19</v>
      </c>
      <c r="D23">
        <v>2</v>
      </c>
      <c r="E23" s="4">
        <f>IF(ISNA(VLOOKUP(C23,$N$4:$O$14,2,FALSE))," ",VLOOKUP(C23,$N$4:$O$14,2,FALSE))</f>
        <v>15</v>
      </c>
      <c r="F23" s="4">
        <f>D23*E23</f>
        <v>30</v>
      </c>
      <c r="H23">
        <v>10</v>
      </c>
      <c r="I23">
        <v>11</v>
      </c>
    </row>
    <row r="24" spans="1:10" x14ac:dyDescent="0.25">
      <c r="A24" t="s">
        <v>37</v>
      </c>
      <c r="B24" t="s">
        <v>24</v>
      </c>
      <c r="C24" t="s">
        <v>20</v>
      </c>
      <c r="D24">
        <v>3</v>
      </c>
      <c r="E24" s="4">
        <f>IF(ISNA(VLOOKUP(C24,$N$4:$O$14,2,FALSE))," ",VLOOKUP(C24,$N$4:$O$14,2,FALSE))</f>
        <v>15</v>
      </c>
      <c r="F24" s="4">
        <f>D24*E24</f>
        <v>45</v>
      </c>
      <c r="H24">
        <v>10</v>
      </c>
      <c r="I24">
        <v>15</v>
      </c>
      <c r="J24">
        <v>15</v>
      </c>
    </row>
    <row r="25" spans="1:10" x14ac:dyDescent="0.25">
      <c r="A25" t="s">
        <v>36</v>
      </c>
      <c r="B25" t="s">
        <v>26</v>
      </c>
      <c r="C25" t="s">
        <v>20</v>
      </c>
      <c r="D25">
        <v>2</v>
      </c>
      <c r="E25" s="4">
        <f>IF(ISNA(VLOOKUP(C25,$N$4:$O$14,2,FALSE))," ",VLOOKUP(C25,$N$4:$O$14,2,FALSE))</f>
        <v>15</v>
      </c>
      <c r="F25" s="4">
        <f>D25*E25</f>
        <v>30</v>
      </c>
      <c r="H25">
        <v>12</v>
      </c>
      <c r="I25">
        <v>10</v>
      </c>
    </row>
    <row r="26" spans="1:10" x14ac:dyDescent="0.25">
      <c r="E26" s="4"/>
      <c r="F26" s="4"/>
    </row>
    <row r="27" spans="1:10" x14ac:dyDescent="0.25">
      <c r="B27" s="3" t="s">
        <v>11</v>
      </c>
      <c r="C27" s="3" t="s">
        <v>10</v>
      </c>
      <c r="D27" s="3" t="s">
        <v>9</v>
      </c>
      <c r="E27" s="4"/>
      <c r="F27" s="3" t="s">
        <v>32</v>
      </c>
      <c r="I27" s="3" t="s">
        <v>72</v>
      </c>
      <c r="J27" s="3" t="s">
        <v>73</v>
      </c>
    </row>
    <row r="28" spans="1:10" x14ac:dyDescent="0.25">
      <c r="A28" t="s">
        <v>34</v>
      </c>
      <c r="B28" t="s">
        <v>108</v>
      </c>
      <c r="C28" t="s">
        <v>17</v>
      </c>
      <c r="D28" s="3">
        <v>2</v>
      </c>
      <c r="E28" s="4">
        <f>IF(ISNA(VLOOKUP(C28,$N$4:$O$14,2,FALSE))," ",VLOOKUP(C28,$N$4:$O$14,2,FALSE))</f>
        <v>12</v>
      </c>
      <c r="F28" s="4">
        <f>D28*E28</f>
        <v>24</v>
      </c>
      <c r="I28" s="3"/>
      <c r="J28" s="3"/>
    </row>
    <row r="29" spans="1:10" x14ac:dyDescent="0.25">
      <c r="A29" t="s">
        <v>34</v>
      </c>
      <c r="B29" t="s">
        <v>143</v>
      </c>
      <c r="C29" t="s">
        <v>19</v>
      </c>
      <c r="D29">
        <v>2</v>
      </c>
      <c r="E29" s="4">
        <f>IF(ISNA(VLOOKUP(C29,$N$4:$O$14,2,FALSE))," ",VLOOKUP(C29,$N$4:$O$14,2,FALSE))</f>
        <v>15</v>
      </c>
      <c r="F29" s="4">
        <f>D29*E29</f>
        <v>30</v>
      </c>
      <c r="H29">
        <v>12</v>
      </c>
      <c r="I29">
        <v>12</v>
      </c>
    </row>
    <row r="30" spans="1:10" x14ac:dyDescent="0.25">
      <c r="A30" t="s">
        <v>37</v>
      </c>
      <c r="B30" t="s">
        <v>13</v>
      </c>
      <c r="C30" t="s">
        <v>19</v>
      </c>
      <c r="D30">
        <v>4</v>
      </c>
      <c r="E30" s="4">
        <f>IF(ISNA(VLOOKUP(C30,$N$4:$O$14,2,FALSE))," ",VLOOKUP(C30,$N$4:$O$14,2,FALSE))</f>
        <v>15</v>
      </c>
      <c r="F30" s="4">
        <f>D30*E30</f>
        <v>60</v>
      </c>
      <c r="H30">
        <v>10</v>
      </c>
      <c r="I30">
        <v>15</v>
      </c>
      <c r="J30">
        <v>15</v>
      </c>
    </row>
    <row r="31" spans="1:10" x14ac:dyDescent="0.25">
      <c r="A31" t="s">
        <v>36</v>
      </c>
      <c r="B31" t="s">
        <v>27</v>
      </c>
      <c r="C31" t="s">
        <v>17</v>
      </c>
      <c r="D31">
        <v>3</v>
      </c>
      <c r="E31" s="4">
        <f>IF(ISNA(VLOOKUP(C31,$N$4:$O$14,2,FALSE))," ",VLOOKUP(C31,$N$4:$O$14,2,FALSE))</f>
        <v>12</v>
      </c>
      <c r="F31" s="4">
        <f>D31*E31</f>
        <v>36</v>
      </c>
      <c r="H31">
        <v>10</v>
      </c>
      <c r="I31">
        <v>2</v>
      </c>
      <c r="J31">
        <v>8</v>
      </c>
    </row>
    <row r="32" spans="1:10" x14ac:dyDescent="0.25">
      <c r="E32" s="4"/>
      <c r="F32" s="4"/>
    </row>
    <row r="33" spans="1:11" x14ac:dyDescent="0.25">
      <c r="B33" s="3" t="s">
        <v>7</v>
      </c>
      <c r="C33" s="3" t="s">
        <v>10</v>
      </c>
      <c r="D33" s="3" t="s">
        <v>9</v>
      </c>
      <c r="E33" s="4"/>
      <c r="F33" s="3" t="s">
        <v>32</v>
      </c>
      <c r="I33" s="3" t="s">
        <v>72</v>
      </c>
      <c r="J33" s="3" t="s">
        <v>73</v>
      </c>
    </row>
    <row r="34" spans="1:11" x14ac:dyDescent="0.25">
      <c r="A34" t="s">
        <v>34</v>
      </c>
      <c r="B34" t="s">
        <v>28</v>
      </c>
      <c r="C34" t="s">
        <v>18</v>
      </c>
      <c r="D34">
        <v>3</v>
      </c>
      <c r="E34" s="4">
        <f>IF(ISNA(VLOOKUP(C34,$N$4:$O$14,2,FALSE))," ",VLOOKUP(C34,$N$4:$O$14,2,FALSE))</f>
        <v>12</v>
      </c>
      <c r="F34" s="4">
        <f>D34*E34</f>
        <v>36</v>
      </c>
      <c r="H34">
        <v>12</v>
      </c>
      <c r="I34">
        <v>65</v>
      </c>
    </row>
    <row r="35" spans="1:11" x14ac:dyDescent="0.25">
      <c r="A35" t="s">
        <v>34</v>
      </c>
      <c r="B35" t="s">
        <v>31</v>
      </c>
      <c r="C35" t="s">
        <v>100</v>
      </c>
      <c r="D35">
        <v>1</v>
      </c>
      <c r="E35" s="4">
        <f>IF(ISNA(VLOOKUP(C35,$N$4:$O$14,2,FALSE))," ",VLOOKUP(C35,$N$4:$O$14,2,FALSE))</f>
        <v>12</v>
      </c>
      <c r="F35" s="4">
        <f>D35*E35</f>
        <v>12</v>
      </c>
      <c r="H35">
        <v>12</v>
      </c>
      <c r="I35">
        <v>8</v>
      </c>
    </row>
    <row r="36" spans="1:11" x14ac:dyDescent="0.25">
      <c r="A36" t="s">
        <v>37</v>
      </c>
      <c r="B36" t="s">
        <v>29</v>
      </c>
      <c r="C36" t="s">
        <v>76</v>
      </c>
      <c r="D36">
        <v>4</v>
      </c>
      <c r="E36" s="4">
        <f>IF(ISNA(VLOOKUP(C36,$N$4:$O$14,2,FALSE))," ",VLOOKUP(C36,$N$4:$O$14,2,FALSE))</f>
        <v>30</v>
      </c>
      <c r="F36" s="4">
        <f>D36*E36</f>
        <v>120</v>
      </c>
      <c r="H36">
        <v>10</v>
      </c>
      <c r="I36">
        <v>31</v>
      </c>
    </row>
    <row r="37" spans="1:11" x14ac:dyDescent="0.25">
      <c r="E37" s="4"/>
      <c r="F37" s="4"/>
    </row>
    <row r="38" spans="1:11" x14ac:dyDescent="0.25">
      <c r="B38" s="3" t="s">
        <v>8</v>
      </c>
      <c r="C38" s="3" t="s">
        <v>10</v>
      </c>
      <c r="D38" s="3" t="s">
        <v>9</v>
      </c>
      <c r="E38" s="4"/>
      <c r="F38" s="3" t="s">
        <v>32</v>
      </c>
      <c r="I38" s="3" t="s">
        <v>72</v>
      </c>
      <c r="J38" s="3" t="s">
        <v>73</v>
      </c>
    </row>
    <row r="39" spans="1:11" x14ac:dyDescent="0.25">
      <c r="A39" t="s">
        <v>34</v>
      </c>
      <c r="B39" t="s">
        <v>30</v>
      </c>
      <c r="C39" t="s">
        <v>75</v>
      </c>
      <c r="D39">
        <v>3.5</v>
      </c>
      <c r="E39" s="4">
        <f>IF(ISNA(VLOOKUP(C39,$N$4:$O$14,2,FALSE))," ",VLOOKUP(C39,$N$4:$O$14,2,FALSE))</f>
        <v>16</v>
      </c>
      <c r="F39" s="4">
        <f>D39*E39</f>
        <v>56</v>
      </c>
      <c r="H39">
        <v>10</v>
      </c>
      <c r="I39">
        <v>18</v>
      </c>
      <c r="J39">
        <v>30</v>
      </c>
    </row>
    <row r="41" spans="1:11" ht="15.75" thickBot="1" x14ac:dyDescent="0.3">
      <c r="C41" s="3" t="s">
        <v>33</v>
      </c>
      <c r="D41" s="3">
        <f>SUM(D4:D39)</f>
        <v>58.5</v>
      </c>
      <c r="E41" s="3"/>
      <c r="F41" s="15">
        <f>SUM(F4:F39)</f>
        <v>842</v>
      </c>
      <c r="G41" s="3"/>
      <c r="H41" s="3" t="s">
        <v>89</v>
      </c>
    </row>
    <row r="42" spans="1:11" x14ac:dyDescent="0.25">
      <c r="F42" s="15">
        <f>F41-F45</f>
        <v>249</v>
      </c>
      <c r="H42" s="3" t="s">
        <v>90</v>
      </c>
      <c r="I42" s="27" t="s">
        <v>77</v>
      </c>
      <c r="J42" s="24" t="s">
        <v>78</v>
      </c>
      <c r="K42" s="25" t="s">
        <v>59</v>
      </c>
    </row>
    <row r="43" spans="1:11" x14ac:dyDescent="0.25">
      <c r="I43" s="9">
        <f>SUM(I2:I39)</f>
        <v>314</v>
      </c>
      <c r="J43" s="10">
        <f>SUM(J2:J39)</f>
        <v>167</v>
      </c>
      <c r="K43" s="1">
        <f>SUM(I43:J43)</f>
        <v>481</v>
      </c>
    </row>
    <row r="44" spans="1:11" ht="24" customHeight="1" thickBot="1" x14ac:dyDescent="0.3">
      <c r="I44" s="26" t="s">
        <v>88</v>
      </c>
      <c r="J44" s="14"/>
      <c r="K44" s="2"/>
    </row>
    <row r="45" spans="1:11" hidden="1" x14ac:dyDescent="0.25">
      <c r="A45" s="31"/>
      <c r="F45" s="5">
        <f>SUMIF(H4:H39, 10, F4:F39)</f>
        <v>593</v>
      </c>
      <c r="H45" t="s">
        <v>91</v>
      </c>
      <c r="I45" s="10"/>
      <c r="J45" s="10"/>
      <c r="K45" s="10"/>
    </row>
    <row r="46" spans="1:11" hidden="1" x14ac:dyDescent="0.25">
      <c r="A46" s="31"/>
      <c r="F46" s="18">
        <f>SUMIF(H4:H39, 10, I4:I39)</f>
        <v>185</v>
      </c>
      <c r="H46" t="s">
        <v>92</v>
      </c>
    </row>
    <row r="47" spans="1:11" ht="15.75" hidden="1" thickBot="1" x14ac:dyDescent="0.3">
      <c r="A47" s="31"/>
      <c r="F47" s="18">
        <f>SUMIF(H4:H39, 10, J4:J39)</f>
        <v>151</v>
      </c>
      <c r="H47" t="s">
        <v>93</v>
      </c>
    </row>
    <row r="48" spans="1:11" x14ac:dyDescent="0.25">
      <c r="I48" s="27" t="s">
        <v>77</v>
      </c>
      <c r="J48" s="24" t="s">
        <v>78</v>
      </c>
      <c r="K48" s="25" t="s">
        <v>59</v>
      </c>
    </row>
    <row r="49" spans="1:11" x14ac:dyDescent="0.25">
      <c r="I49" s="9">
        <f>I43-F46</f>
        <v>129</v>
      </c>
      <c r="J49" s="10">
        <f>J43-F47</f>
        <v>16</v>
      </c>
      <c r="K49" s="1">
        <f>SUM(I49:J49)</f>
        <v>145</v>
      </c>
    </row>
    <row r="50" spans="1:11" ht="15.75" thickBot="1" x14ac:dyDescent="0.3">
      <c r="I50" s="26" t="s">
        <v>94</v>
      </c>
      <c r="J50" s="14"/>
      <c r="K50" s="2"/>
    </row>
    <row r="53" spans="1:11" x14ac:dyDescent="0.25">
      <c r="A53" s="3" t="s">
        <v>98</v>
      </c>
      <c r="B53" s="3" t="s">
        <v>105</v>
      </c>
      <c r="C53" s="3" t="s">
        <v>106</v>
      </c>
    </row>
    <row r="54" spans="1:11" x14ac:dyDescent="0.25">
      <c r="A54" t="s">
        <v>99</v>
      </c>
      <c r="B54" s="5">
        <f>SUMIF(C4:C39, "Hall 1 &amp; Kitchen",$F$4:$F$39)</f>
        <v>228</v>
      </c>
      <c r="C54" s="5">
        <f t="shared" ref="C54:C60" si="0">B54*12</f>
        <v>2736</v>
      </c>
      <c r="D54">
        <f>SUMIF($C$4:$C$39, "Hall 1 &amp; Kitchen",$D$4:$D$39)</f>
        <v>19</v>
      </c>
    </row>
    <row r="55" spans="1:11" x14ac:dyDescent="0.25">
      <c r="A55" t="s">
        <v>100</v>
      </c>
      <c r="B55" s="5">
        <f>SUMIF(C4:C39, "Hall 2",$F$4:$F$39)</f>
        <v>12</v>
      </c>
      <c r="C55" s="5">
        <f t="shared" si="0"/>
        <v>144</v>
      </c>
      <c r="D55">
        <f>SUMIF($C$4:$C$39, "Hall 2",$D$4:$D$39)</f>
        <v>1</v>
      </c>
    </row>
    <row r="56" spans="1:11" x14ac:dyDescent="0.25">
      <c r="A56" t="s">
        <v>18</v>
      </c>
      <c r="B56" s="5">
        <f>SUMIF(C4:C39, "Hall 3",$F$4:$F$39)</f>
        <v>36</v>
      </c>
      <c r="C56" s="5">
        <f t="shared" si="0"/>
        <v>432</v>
      </c>
      <c r="D56">
        <f>SUMIF($C$4:$C$39, "Hall 3",$D$4:$D$39)</f>
        <v>3</v>
      </c>
    </row>
    <row r="57" spans="1:11" x14ac:dyDescent="0.25">
      <c r="A57" s="33" t="s">
        <v>101</v>
      </c>
      <c r="B57" s="34">
        <f>SUM(B54:B56)</f>
        <v>276</v>
      </c>
      <c r="C57" s="34">
        <f t="shared" si="0"/>
        <v>3312</v>
      </c>
      <c r="D57" s="33">
        <f>SUM(D54:D56)</f>
        <v>23</v>
      </c>
    </row>
    <row r="58" spans="1:11" x14ac:dyDescent="0.25">
      <c r="A58" t="s">
        <v>19</v>
      </c>
      <c r="B58" s="5">
        <f>SUMIF(C9:C43, "Hall 2&amp;3",$F$4:$F$40)</f>
        <v>186</v>
      </c>
      <c r="C58" s="5">
        <f t="shared" si="0"/>
        <v>2232</v>
      </c>
      <c r="D58">
        <f>SUMIF($C$4:$C$39, "Hall 2&amp;3",$D$4:$D$39)</f>
        <v>18</v>
      </c>
    </row>
    <row r="59" spans="1:11" x14ac:dyDescent="0.25">
      <c r="A59" s="33" t="s">
        <v>102</v>
      </c>
      <c r="B59" s="34">
        <f>SUM(B58)</f>
        <v>186</v>
      </c>
      <c r="C59" s="34">
        <f t="shared" si="0"/>
        <v>2232</v>
      </c>
      <c r="D59" s="33">
        <f>SUM(D58)</f>
        <v>18</v>
      </c>
    </row>
    <row r="60" spans="1:11" x14ac:dyDescent="0.25">
      <c r="A60" s="33" t="s">
        <v>103</v>
      </c>
      <c r="B60" s="34">
        <f>SUMIF(C4:C39, "Full hall",$F$4:$F$39)</f>
        <v>120</v>
      </c>
      <c r="C60" s="34">
        <f t="shared" si="0"/>
        <v>1440</v>
      </c>
      <c r="D60">
        <f>SUMIF($C$4:$C$39, "Full hall",$D$4:$D$39)</f>
        <v>8</v>
      </c>
    </row>
    <row r="61" spans="1:11" x14ac:dyDescent="0.25">
      <c r="A61" t="s">
        <v>75</v>
      </c>
      <c r="B61" s="5">
        <f>SUMIF(C4:C39, "Football (youth)",$F$4:$F$39)</f>
        <v>56</v>
      </c>
      <c r="C61" s="5">
        <f>B61*10</f>
        <v>560</v>
      </c>
      <c r="D61">
        <f>SUMIF(C4:C39, "Football (youth)",$D$4:$D$39)</f>
        <v>3.5</v>
      </c>
      <c r="F61" t="s">
        <v>107</v>
      </c>
    </row>
    <row r="62" spans="1:11" x14ac:dyDescent="0.25">
      <c r="A62" t="s">
        <v>76</v>
      </c>
      <c r="B62" s="5">
        <f>SUMIF(C4:C39, "Football (adult)",$F$4:$F$39)</f>
        <v>120</v>
      </c>
      <c r="C62" s="5">
        <f>B62*10</f>
        <v>1200</v>
      </c>
      <c r="D62">
        <f>SUMIF(C4:C39, "Football (adult)",$D$4:$D$39)</f>
        <v>4</v>
      </c>
    </row>
    <row r="63" spans="1:11" x14ac:dyDescent="0.25">
      <c r="A63" s="33" t="s">
        <v>104</v>
      </c>
      <c r="B63" s="34">
        <f>SUM(B61:B62)</f>
        <v>176</v>
      </c>
      <c r="C63" s="34">
        <f>B63*10</f>
        <v>1760</v>
      </c>
      <c r="D63" s="33">
        <f>SUM(D61:D62)</f>
        <v>7.5</v>
      </c>
    </row>
    <row r="66" spans="2:4" x14ac:dyDescent="0.25">
      <c r="B66" s="5">
        <f>B57+B59+B60+B63</f>
        <v>758</v>
      </c>
      <c r="C66" s="5">
        <f>C57+C59+C60+C63</f>
        <v>8744</v>
      </c>
      <c r="D66" s="5"/>
    </row>
  </sheetData>
  <dataValidations count="1">
    <dataValidation type="list" allowBlank="1" showInputMessage="1" showErrorMessage="1" sqref="C10:C14 C4:C8 K4:K6 C39 T6:T9 C17:C19 C22:C25 C28:C31 C34:C36 Q7:Q9">
      <formula1>$N$4:$N$11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16" sqref="I16"/>
    </sheetView>
  </sheetViews>
  <sheetFormatPr defaultRowHeight="15" x14ac:dyDescent="0.25"/>
  <cols>
    <col min="1" max="1" width="18.28515625" customWidth="1"/>
    <col min="2" max="2" width="17.140625" customWidth="1"/>
    <col min="3" max="3" width="14.7109375" customWidth="1"/>
    <col min="4" max="4" width="16.28515625" customWidth="1"/>
    <col min="6" max="6" width="15.140625" customWidth="1"/>
  </cols>
  <sheetData>
    <row r="1" spans="1:8" x14ac:dyDescent="0.25">
      <c r="A1" s="3" t="s">
        <v>69</v>
      </c>
    </row>
    <row r="3" spans="1:8" x14ac:dyDescent="0.25">
      <c r="A3" s="3" t="s">
        <v>80</v>
      </c>
    </row>
    <row r="5" spans="1:8" ht="30" x14ac:dyDescent="0.25">
      <c r="A5" s="29" t="s">
        <v>81</v>
      </c>
      <c r="B5" s="29" t="s">
        <v>82</v>
      </c>
      <c r="C5" s="30" t="s">
        <v>74</v>
      </c>
      <c r="D5" s="30" t="s">
        <v>83</v>
      </c>
      <c r="E5" s="29" t="s">
        <v>84</v>
      </c>
      <c r="F5" s="29" t="s">
        <v>134</v>
      </c>
      <c r="G5" s="3"/>
      <c r="H5" s="3" t="s">
        <v>70</v>
      </c>
    </row>
    <row r="6" spans="1:8" x14ac:dyDescent="0.25">
      <c r="A6" s="23">
        <v>0.2</v>
      </c>
      <c r="B6" s="23">
        <v>0.1</v>
      </c>
    </row>
    <row r="7" spans="1:8" x14ac:dyDescent="0.25">
      <c r="A7" s="28">
        <f>'Sample schedule'!I43*A6</f>
        <v>62.800000000000004</v>
      </c>
      <c r="B7" s="28">
        <f>'Sample schedule'!J43*B6</f>
        <v>16.7</v>
      </c>
      <c r="C7" s="28">
        <f>SUM(A7:B7)</f>
        <v>79.5</v>
      </c>
      <c r="D7" s="5">
        <v>1.2</v>
      </c>
      <c r="E7" s="23">
        <v>0.7</v>
      </c>
      <c r="F7" s="5">
        <f>C7*(D7-(D7*E7))</f>
        <v>28.619999999999997</v>
      </c>
      <c r="H7" t="s">
        <v>85</v>
      </c>
    </row>
    <row r="8" spans="1:8" x14ac:dyDescent="0.25">
      <c r="H8" t="s">
        <v>86</v>
      </c>
    </row>
    <row r="9" spans="1:8" x14ac:dyDescent="0.25">
      <c r="A9" s="41" t="s">
        <v>95</v>
      </c>
    </row>
    <row r="10" spans="1:8" x14ac:dyDescent="0.25">
      <c r="H10" t="s">
        <v>135</v>
      </c>
    </row>
    <row r="11" spans="1:8" x14ac:dyDescent="0.25">
      <c r="A11" s="30"/>
      <c r="B11" s="30"/>
      <c r="C11" s="30"/>
      <c r="D11" s="30"/>
      <c r="E11" s="30"/>
      <c r="F11" s="30"/>
    </row>
    <row r="12" spans="1:8" x14ac:dyDescent="0.25">
      <c r="A12" s="66"/>
      <c r="B12" s="66"/>
      <c r="D12" s="35"/>
      <c r="F12" s="35"/>
    </row>
  </sheetData>
  <mergeCells count="1">
    <mergeCell ref="A12:B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1" sqref="E11"/>
    </sheetView>
  </sheetViews>
  <sheetFormatPr defaultRowHeight="15" x14ac:dyDescent="0.25"/>
  <cols>
    <col min="1" max="1" width="30" customWidth="1"/>
    <col min="3" max="3" width="19.28515625" customWidth="1"/>
    <col min="4" max="4" width="13.140625" customWidth="1"/>
    <col min="5" max="5" width="11.42578125" customWidth="1"/>
    <col min="6" max="6" width="11.7109375" customWidth="1"/>
    <col min="7" max="7" width="10.85546875" customWidth="1"/>
    <col min="8" max="8" width="11.7109375" customWidth="1"/>
    <col min="9" max="9" width="20.7109375" customWidth="1"/>
    <col min="10" max="10" width="21.85546875" customWidth="1"/>
  </cols>
  <sheetData>
    <row r="1" spans="1:10" x14ac:dyDescent="0.25">
      <c r="A1" s="32" t="s">
        <v>96</v>
      </c>
      <c r="B1" s="32"/>
      <c r="C1" s="32"/>
    </row>
    <row r="3" spans="1:10" ht="36.75" customHeight="1" x14ac:dyDescent="0.25">
      <c r="A3" s="45"/>
      <c r="B3" s="49" t="s">
        <v>131</v>
      </c>
      <c r="C3" s="49" t="s">
        <v>122</v>
      </c>
      <c r="D3" s="49" t="s">
        <v>123</v>
      </c>
      <c r="E3" s="49" t="s">
        <v>124</v>
      </c>
      <c r="F3" s="45" t="s">
        <v>125</v>
      </c>
      <c r="G3" s="45" t="s">
        <v>126</v>
      </c>
      <c r="H3" s="45" t="s">
        <v>127</v>
      </c>
      <c r="I3" s="60" t="s">
        <v>128</v>
      </c>
      <c r="J3" s="60" t="s">
        <v>129</v>
      </c>
    </row>
    <row r="4" spans="1:10" x14ac:dyDescent="0.25">
      <c r="A4" s="50"/>
      <c r="B4" s="58"/>
      <c r="C4" s="51"/>
      <c r="D4" s="51"/>
      <c r="E4" s="51"/>
      <c r="F4" s="52"/>
      <c r="G4" s="52"/>
      <c r="H4" s="53"/>
      <c r="I4" s="52"/>
      <c r="J4" s="52"/>
    </row>
    <row r="5" spans="1:10" ht="15.75" x14ac:dyDescent="0.25">
      <c r="A5" s="46" t="s">
        <v>130</v>
      </c>
      <c r="B5" s="59">
        <v>1</v>
      </c>
      <c r="C5" s="17">
        <v>26480</v>
      </c>
      <c r="D5" s="43">
        <v>0.6</v>
      </c>
      <c r="E5" s="42">
        <f>C5*D5</f>
        <v>15888</v>
      </c>
      <c r="F5" s="47">
        <f>MAX(0,(E5-8606)*0.138)</f>
        <v>1004.9160000000001</v>
      </c>
      <c r="G5" s="47">
        <f>C5*0.05</f>
        <v>1324</v>
      </c>
      <c r="H5" s="48">
        <v>0</v>
      </c>
      <c r="I5" s="55">
        <f>E5+F5+G5</f>
        <v>18216.916000000001</v>
      </c>
      <c r="J5" s="57">
        <f>I5*B5</f>
        <v>18216.916000000001</v>
      </c>
    </row>
    <row r="6" spans="1:10" ht="15.75" x14ac:dyDescent="0.25">
      <c r="A6" s="46" t="s">
        <v>132</v>
      </c>
      <c r="B6" s="59">
        <v>1</v>
      </c>
      <c r="C6" s="17">
        <v>10134.36</v>
      </c>
      <c r="D6" s="43">
        <v>1</v>
      </c>
      <c r="E6" s="48">
        <f>C6*D6</f>
        <v>10134.36</v>
      </c>
      <c r="F6" s="47">
        <f>MAX(0,(E6-8606)*0.138)</f>
        <v>210.91368000000008</v>
      </c>
      <c r="G6" s="47">
        <f>C6*0.05</f>
        <v>506.71800000000007</v>
      </c>
      <c r="H6" s="48">
        <v>0</v>
      </c>
      <c r="I6" s="55">
        <f>E6+F6+G6</f>
        <v>10851.991680000001</v>
      </c>
      <c r="J6" s="57">
        <f>I6*B6</f>
        <v>10851.991680000001</v>
      </c>
    </row>
    <row r="7" spans="1:10" ht="15.75" x14ac:dyDescent="0.25">
      <c r="A7" s="46" t="s">
        <v>137</v>
      </c>
      <c r="B7" s="59">
        <v>1</v>
      </c>
      <c r="C7" s="17">
        <v>26480</v>
      </c>
      <c r="D7" s="43">
        <v>0.6</v>
      </c>
      <c r="E7" s="42">
        <f>C7*D7</f>
        <v>15888</v>
      </c>
      <c r="F7" s="47">
        <f>MAX(0,(E7-8606)*0.138)</f>
        <v>1004.9160000000001</v>
      </c>
      <c r="G7" s="47">
        <f>C7*0.05</f>
        <v>1324</v>
      </c>
      <c r="H7" s="48">
        <v>0</v>
      </c>
      <c r="I7" s="55">
        <f>E7+F7+G7</f>
        <v>18216.916000000001</v>
      </c>
      <c r="J7" s="57">
        <f>I7*B7</f>
        <v>18216.916000000001</v>
      </c>
    </row>
    <row r="8" spans="1:10" x14ac:dyDescent="0.25">
      <c r="A8" s="46" t="s">
        <v>32</v>
      </c>
      <c r="B8" s="59"/>
      <c r="C8" s="56">
        <f t="shared" ref="C8:J8" si="0">SUM(C5:C7)</f>
        <v>63094.36</v>
      </c>
      <c r="D8" s="44">
        <f t="shared" si="0"/>
        <v>2.2000000000000002</v>
      </c>
      <c r="E8" s="56">
        <f t="shared" si="0"/>
        <v>41910.36</v>
      </c>
      <c r="F8" s="54">
        <f t="shared" si="0"/>
        <v>2220.74568</v>
      </c>
      <c r="G8" s="56">
        <f t="shared" si="0"/>
        <v>3154.7179999999998</v>
      </c>
      <c r="H8" s="56">
        <f t="shared" si="0"/>
        <v>0</v>
      </c>
      <c r="I8" s="56">
        <f t="shared" si="0"/>
        <v>47285.823680000001</v>
      </c>
      <c r="J8" s="54">
        <f t="shared" si="0"/>
        <v>47285.823680000001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6" sqref="H6"/>
    </sheetView>
  </sheetViews>
  <sheetFormatPr defaultRowHeight="15" x14ac:dyDescent="0.25"/>
  <cols>
    <col min="4" max="4" width="19.28515625" customWidth="1"/>
  </cols>
  <sheetData>
    <row r="1" spans="1:7" x14ac:dyDescent="0.25">
      <c r="A1" s="3" t="s">
        <v>68</v>
      </c>
    </row>
    <row r="2" spans="1:7" ht="15.75" x14ac:dyDescent="0.25">
      <c r="A2" s="63" t="s">
        <v>144</v>
      </c>
      <c r="B2" s="61"/>
      <c r="C2" s="61"/>
      <c r="D2" s="64">
        <v>0</v>
      </c>
    </row>
    <row r="3" spans="1:7" ht="15.75" x14ac:dyDescent="0.25">
      <c r="A3" s="63" t="s">
        <v>145</v>
      </c>
      <c r="B3" s="61"/>
      <c r="C3" s="61"/>
      <c r="D3" s="64">
        <v>11500</v>
      </c>
      <c r="G3" t="s">
        <v>148</v>
      </c>
    </row>
    <row r="4" spans="1:7" ht="15.75" x14ac:dyDescent="0.25">
      <c r="A4" s="63" t="s">
        <v>146</v>
      </c>
      <c r="B4" s="61"/>
      <c r="C4" s="61"/>
      <c r="D4" s="64">
        <v>0</v>
      </c>
    </row>
    <row r="5" spans="1:7" ht="15.75" x14ac:dyDescent="0.25">
      <c r="A5" s="63" t="s">
        <v>147</v>
      </c>
      <c r="B5" s="61"/>
      <c r="C5" s="61"/>
      <c r="D5" s="64">
        <v>5000</v>
      </c>
    </row>
    <row r="6" spans="1:7" x14ac:dyDescent="0.25">
      <c r="A6" s="61"/>
      <c r="B6" s="61"/>
      <c r="C6" s="61"/>
      <c r="D6" s="62">
        <f>SUM(D2:D5)</f>
        <v>16500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13" sqref="G13"/>
    </sheetView>
  </sheetViews>
  <sheetFormatPr defaultRowHeight="15" x14ac:dyDescent="0.25"/>
  <cols>
    <col min="1" max="1" width="20.7109375" customWidth="1"/>
    <col min="2" max="2" width="13.85546875" customWidth="1"/>
    <col min="3" max="3" width="11.5703125" customWidth="1"/>
    <col min="5" max="5" width="17.7109375" customWidth="1"/>
  </cols>
  <sheetData>
    <row r="1" spans="1:6" x14ac:dyDescent="0.25">
      <c r="A1" s="3" t="s">
        <v>110</v>
      </c>
      <c r="B1" s="3" t="s">
        <v>111</v>
      </c>
      <c r="C1" s="3" t="s">
        <v>112</v>
      </c>
      <c r="D1" s="3" t="s">
        <v>32</v>
      </c>
      <c r="E1" s="3" t="s">
        <v>114</v>
      </c>
      <c r="F1" s="3" t="s">
        <v>70</v>
      </c>
    </row>
    <row r="2" spans="1:6" x14ac:dyDescent="0.25">
      <c r="A2" t="s">
        <v>109</v>
      </c>
      <c r="B2">
        <v>100</v>
      </c>
      <c r="C2" s="35">
        <v>13</v>
      </c>
      <c r="D2" s="35">
        <f t="shared" ref="D2:D7" si="0">B2*C2</f>
        <v>1300</v>
      </c>
      <c r="E2" t="s">
        <v>115</v>
      </c>
      <c r="F2" t="s">
        <v>133</v>
      </c>
    </row>
    <row r="3" spans="1:6" x14ac:dyDescent="0.25">
      <c r="A3" t="s">
        <v>113</v>
      </c>
      <c r="B3">
        <v>10</v>
      </c>
      <c r="C3" s="35">
        <v>80</v>
      </c>
      <c r="D3" s="35">
        <f t="shared" si="0"/>
        <v>800</v>
      </c>
      <c r="E3" t="s">
        <v>115</v>
      </c>
    </row>
    <row r="4" spans="1:6" x14ac:dyDescent="0.25">
      <c r="A4" t="s">
        <v>116</v>
      </c>
      <c r="B4">
        <v>6</v>
      </c>
      <c r="C4" s="35">
        <v>125</v>
      </c>
      <c r="D4" s="35">
        <f t="shared" si="0"/>
        <v>750</v>
      </c>
      <c r="E4" t="s">
        <v>118</v>
      </c>
      <c r="F4" t="s">
        <v>117</v>
      </c>
    </row>
    <row r="5" spans="1:6" x14ac:dyDescent="0.25">
      <c r="A5" t="s">
        <v>121</v>
      </c>
      <c r="B5">
        <v>16</v>
      </c>
      <c r="C5" s="35">
        <v>45</v>
      </c>
      <c r="D5" s="35">
        <f t="shared" si="0"/>
        <v>720</v>
      </c>
      <c r="E5" t="s">
        <v>120</v>
      </c>
    </row>
    <row r="6" spans="1:6" x14ac:dyDescent="0.25">
      <c r="D6" s="35">
        <f t="shared" si="0"/>
        <v>0</v>
      </c>
    </row>
    <row r="7" spans="1:6" x14ac:dyDescent="0.25">
      <c r="D7" s="35">
        <f t="shared" si="0"/>
        <v>0</v>
      </c>
    </row>
    <row r="10" spans="1:6" x14ac:dyDescent="0.25">
      <c r="A10" s="3" t="s">
        <v>32</v>
      </c>
      <c r="B10" s="3"/>
      <c r="C10" s="3"/>
      <c r="D10" s="36">
        <f>SUM(D2:D9)</f>
        <v>3570</v>
      </c>
    </row>
    <row r="12" spans="1:6" x14ac:dyDescent="0.25">
      <c r="A12" s="37" t="s">
        <v>119</v>
      </c>
      <c r="B12" s="37"/>
      <c r="C12" s="37"/>
      <c r="D12" s="37"/>
    </row>
    <row r="13" spans="1:6" x14ac:dyDescent="0.25">
      <c r="A13" s="38" t="s">
        <v>115</v>
      </c>
      <c r="B13" s="37"/>
      <c r="C13" s="37"/>
      <c r="D13" s="39">
        <f>SUMIF(E2:E9, A13, D2:D9)</f>
        <v>2100</v>
      </c>
    </row>
    <row r="14" spans="1:6" x14ac:dyDescent="0.25">
      <c r="A14" s="38" t="s">
        <v>118</v>
      </c>
      <c r="B14" s="37"/>
      <c r="C14" s="37"/>
      <c r="D14" s="39">
        <f>SUMIF(E2:E9, A14, D2:D9)</f>
        <v>750</v>
      </c>
    </row>
    <row r="15" spans="1:6" x14ac:dyDescent="0.25">
      <c r="A15" s="37"/>
      <c r="B15" s="37"/>
      <c r="C15" s="37"/>
      <c r="D15" s="37"/>
    </row>
    <row r="16" spans="1:6" x14ac:dyDescent="0.25">
      <c r="A16" s="37"/>
      <c r="B16" s="37"/>
      <c r="C16" s="37"/>
      <c r="D16" s="3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7" workbookViewId="0">
      <selection activeCell="G12" sqref="G12"/>
    </sheetView>
  </sheetViews>
  <sheetFormatPr defaultRowHeight="15" x14ac:dyDescent="0.25"/>
  <cols>
    <col min="1" max="1" width="28.7109375" customWidth="1"/>
    <col min="2" max="2" width="13.42578125" customWidth="1"/>
  </cols>
  <sheetData>
    <row r="1" spans="1:10" x14ac:dyDescent="0.25">
      <c r="A1" s="3" t="s">
        <v>60</v>
      </c>
    </row>
    <row r="3" spans="1:10" x14ac:dyDescent="0.25">
      <c r="A3" s="3" t="s">
        <v>55</v>
      </c>
      <c r="B3" s="3"/>
      <c r="C3" s="3"/>
      <c r="D3" s="3" t="s">
        <v>57</v>
      </c>
    </row>
    <row r="4" spans="1:10" ht="15.75" x14ac:dyDescent="0.25">
      <c r="A4" s="16" t="s">
        <v>38</v>
      </c>
      <c r="B4" s="17">
        <v>26480</v>
      </c>
      <c r="D4" t="s">
        <v>58</v>
      </c>
    </row>
    <row r="5" spans="1:10" ht="15.75" x14ac:dyDescent="0.25">
      <c r="A5" s="16" t="s">
        <v>39</v>
      </c>
      <c r="B5" s="17">
        <v>10134.36</v>
      </c>
      <c r="D5" s="32" t="s">
        <v>97</v>
      </c>
      <c r="E5" s="32"/>
      <c r="F5" s="32"/>
      <c r="G5" s="32"/>
      <c r="H5" s="32"/>
      <c r="I5" s="32"/>
      <c r="J5" s="32"/>
    </row>
    <row r="6" spans="1:10" ht="15.75" x14ac:dyDescent="0.25">
      <c r="A6" s="16"/>
    </row>
    <row r="7" spans="1:10" x14ac:dyDescent="0.25">
      <c r="A7" s="3" t="s">
        <v>56</v>
      </c>
    </row>
    <row r="8" spans="1:10" ht="15.75" x14ac:dyDescent="0.25">
      <c r="A8" s="16" t="s">
        <v>40</v>
      </c>
      <c r="B8" s="17">
        <v>27.079499999999999</v>
      </c>
    </row>
    <row r="9" spans="1:10" ht="15.75" x14ac:dyDescent="0.25">
      <c r="A9" s="16" t="s">
        <v>41</v>
      </c>
      <c r="B9" s="17">
        <v>49.801499999999997</v>
      </c>
    </row>
    <row r="10" spans="1:10" ht="15.75" x14ac:dyDescent="0.25">
      <c r="A10" s="16" t="s">
        <v>42</v>
      </c>
      <c r="B10" s="17">
        <v>3000</v>
      </c>
      <c r="D10" t="s">
        <v>149</v>
      </c>
    </row>
    <row r="11" spans="1:10" ht="15.75" x14ac:dyDescent="0.25">
      <c r="A11" s="16" t="s">
        <v>43</v>
      </c>
      <c r="B11" s="17">
        <v>388.35300000000001</v>
      </c>
    </row>
    <row r="12" spans="1:10" ht="15.75" x14ac:dyDescent="0.25">
      <c r="A12" s="16" t="s">
        <v>44</v>
      </c>
      <c r="B12" s="17">
        <v>175.833</v>
      </c>
    </row>
    <row r="13" spans="1:10" ht="15.75" x14ac:dyDescent="0.25">
      <c r="A13" s="16" t="s">
        <v>45</v>
      </c>
      <c r="B13" s="17">
        <v>252</v>
      </c>
    </row>
    <row r="14" spans="1:10" ht="15.75" x14ac:dyDescent="0.25">
      <c r="A14" s="16" t="s">
        <v>46</v>
      </c>
      <c r="B14" s="17">
        <v>157.5</v>
      </c>
    </row>
    <row r="15" spans="1:10" ht="15.75" x14ac:dyDescent="0.25">
      <c r="A15" s="16" t="s">
        <v>47</v>
      </c>
      <c r="B15" s="17">
        <v>2800</v>
      </c>
      <c r="D15" t="s">
        <v>150</v>
      </c>
    </row>
    <row r="16" spans="1:10" ht="15.75" x14ac:dyDescent="0.25">
      <c r="A16" s="16" t="s">
        <v>48</v>
      </c>
      <c r="B16" s="17">
        <v>252</v>
      </c>
    </row>
    <row r="17" spans="1:2" ht="15.75" x14ac:dyDescent="0.25">
      <c r="A17" s="16" t="s">
        <v>49</v>
      </c>
      <c r="B17" s="17">
        <v>500</v>
      </c>
    </row>
    <row r="18" spans="1:2" ht="15.75" x14ac:dyDescent="0.25">
      <c r="A18" s="16" t="s">
        <v>50</v>
      </c>
      <c r="B18" s="17">
        <v>5</v>
      </c>
    </row>
    <row r="19" spans="1:2" ht="15.75" x14ac:dyDescent="0.25">
      <c r="A19" s="16" t="s">
        <v>51</v>
      </c>
      <c r="B19" s="17">
        <v>403.2</v>
      </c>
    </row>
    <row r="20" spans="1:2" ht="15.75" x14ac:dyDescent="0.25">
      <c r="A20" s="16" t="s">
        <v>52</v>
      </c>
      <c r="B20" s="17">
        <v>240</v>
      </c>
    </row>
    <row r="21" spans="1:2" ht="15.75" x14ac:dyDescent="0.25">
      <c r="A21" s="16" t="s">
        <v>53</v>
      </c>
      <c r="B21" s="17">
        <v>99.487499999999997</v>
      </c>
    </row>
    <row r="22" spans="1:2" ht="15.75" x14ac:dyDescent="0.25">
      <c r="A22" s="16" t="s">
        <v>54</v>
      </c>
      <c r="B22" s="17">
        <v>94.814999999999998</v>
      </c>
    </row>
    <row r="24" spans="1:2" ht="15.75" x14ac:dyDescent="0.25">
      <c r="A24" s="16" t="s">
        <v>59</v>
      </c>
      <c r="B24" s="5">
        <f>SUM(B4:B23)</f>
        <v>45059.429500000006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N6" sqref="N6"/>
    </sheetView>
  </sheetViews>
  <sheetFormatPr defaultRowHeight="15" x14ac:dyDescent="0.25"/>
  <cols>
    <col min="1" max="1" width="44.85546875" customWidth="1"/>
    <col min="2" max="2" width="12.42578125" customWidth="1"/>
    <col min="3" max="3" width="10.7109375" customWidth="1"/>
    <col min="4" max="4" width="11" customWidth="1"/>
    <col min="5" max="5" width="10.5703125" customWidth="1"/>
    <col min="6" max="6" width="10.5703125" bestFit="1" customWidth="1"/>
    <col min="7" max="7" width="10.5703125" customWidth="1"/>
    <col min="8" max="8" width="9.85546875" bestFit="1" customWidth="1"/>
    <col min="9" max="9" width="10.140625" bestFit="1" customWidth="1"/>
    <col min="10" max="10" width="10.5703125" bestFit="1" customWidth="1"/>
    <col min="11" max="12" width="9.85546875" bestFit="1" customWidth="1"/>
    <col min="13" max="13" width="10.5703125" bestFit="1" customWidth="1"/>
    <col min="14" max="14" width="11.5703125" bestFit="1" customWidth="1"/>
    <col min="15" max="15" width="10.140625" bestFit="1" customWidth="1"/>
    <col min="16" max="16" width="10.85546875" bestFit="1" customWidth="1"/>
  </cols>
  <sheetData>
    <row r="1" spans="1:16" x14ac:dyDescent="0.25">
      <c r="B1" s="22" t="s">
        <v>151</v>
      </c>
      <c r="C1" s="22" t="s">
        <v>154</v>
      </c>
      <c r="D1" s="22" t="s">
        <v>155</v>
      </c>
      <c r="E1" s="22" t="s">
        <v>152</v>
      </c>
      <c r="F1" s="22" t="s">
        <v>153</v>
      </c>
      <c r="G1" s="22" t="s">
        <v>156</v>
      </c>
      <c r="H1" s="22" t="s">
        <v>157</v>
      </c>
      <c r="I1" s="22" t="s">
        <v>158</v>
      </c>
      <c r="J1" s="22" t="s">
        <v>159</v>
      </c>
      <c r="K1" s="22" t="s">
        <v>160</v>
      </c>
      <c r="L1" s="22" t="s">
        <v>161</v>
      </c>
      <c r="M1" s="22" t="s">
        <v>162</v>
      </c>
      <c r="N1" s="3" t="s">
        <v>59</v>
      </c>
    </row>
    <row r="2" spans="1:16" x14ac:dyDescent="0.25">
      <c r="A2" t="s">
        <v>67</v>
      </c>
      <c r="B2" s="5">
        <f>'Sample schedule'!$F$41</f>
        <v>842</v>
      </c>
      <c r="C2" s="5">
        <f>'Sample schedule'!$F$41</f>
        <v>842</v>
      </c>
      <c r="D2" s="5">
        <f>'Sample schedule'!$F$41</f>
        <v>842</v>
      </c>
      <c r="E2" s="5">
        <f>'Sample schedule'!$F$41</f>
        <v>842</v>
      </c>
      <c r="F2" s="5">
        <f>'Sample schedule'!$F$41</f>
        <v>842</v>
      </c>
      <c r="G2" s="5">
        <f>'Sample schedule'!$F$41</f>
        <v>842</v>
      </c>
      <c r="H2" s="5">
        <f>'Sample schedule'!F42</f>
        <v>249</v>
      </c>
      <c r="I2" s="5">
        <f>'Sample schedule'!F42</f>
        <v>249</v>
      </c>
      <c r="J2" s="5">
        <f>'Sample schedule'!$F$41</f>
        <v>842</v>
      </c>
      <c r="K2" s="5">
        <f>'Sample schedule'!$F$41</f>
        <v>842</v>
      </c>
      <c r="L2" s="5">
        <f>'Sample schedule'!$F$41</f>
        <v>842</v>
      </c>
      <c r="M2" s="5">
        <f>'Sample schedule'!$F$41</f>
        <v>842</v>
      </c>
      <c r="N2" s="18"/>
    </row>
    <row r="3" spans="1:16" x14ac:dyDescent="0.25">
      <c r="A3" t="s">
        <v>139</v>
      </c>
      <c r="B3" s="18">
        <v>4</v>
      </c>
      <c r="C3" s="18">
        <v>4</v>
      </c>
      <c r="D3" s="18">
        <v>4</v>
      </c>
      <c r="E3" s="18">
        <v>4</v>
      </c>
      <c r="F3" s="18">
        <v>5</v>
      </c>
      <c r="G3" s="18">
        <v>4</v>
      </c>
      <c r="H3" s="18">
        <v>5</v>
      </c>
      <c r="I3" s="18">
        <v>4</v>
      </c>
      <c r="J3" s="18">
        <v>5</v>
      </c>
      <c r="K3" s="18">
        <v>4</v>
      </c>
      <c r="L3" s="18">
        <v>4</v>
      </c>
      <c r="M3" s="18">
        <v>5</v>
      </c>
      <c r="N3" s="18"/>
    </row>
    <row r="4" spans="1:1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6" x14ac:dyDescent="0.25">
      <c r="A5" t="s">
        <v>61</v>
      </c>
      <c r="B5" s="5">
        <f t="shared" ref="B5:M5" si="0">B2*B3</f>
        <v>3368</v>
      </c>
      <c r="C5" s="5">
        <f t="shared" si="0"/>
        <v>3368</v>
      </c>
      <c r="D5" s="5">
        <f t="shared" si="0"/>
        <v>3368</v>
      </c>
      <c r="E5" s="5">
        <f t="shared" si="0"/>
        <v>3368</v>
      </c>
      <c r="F5" s="5">
        <f t="shared" si="0"/>
        <v>4210</v>
      </c>
      <c r="G5" s="5">
        <f t="shared" si="0"/>
        <v>3368</v>
      </c>
      <c r="H5" s="5">
        <f t="shared" si="0"/>
        <v>1245</v>
      </c>
      <c r="I5" s="5">
        <f t="shared" si="0"/>
        <v>996</v>
      </c>
      <c r="J5" s="5">
        <f t="shared" si="0"/>
        <v>4210</v>
      </c>
      <c r="K5" s="5">
        <f t="shared" si="0"/>
        <v>3368</v>
      </c>
      <c r="L5" s="5">
        <f t="shared" si="0"/>
        <v>3368</v>
      </c>
      <c r="M5" s="5">
        <f t="shared" si="0"/>
        <v>4210</v>
      </c>
      <c r="N5" s="5">
        <f>SUM(B5:M5)</f>
        <v>38447</v>
      </c>
    </row>
    <row r="6" spans="1:16" x14ac:dyDescent="0.25">
      <c r="A6" t="s">
        <v>142</v>
      </c>
      <c r="B6">
        <f>'Other income'!$F$7*'Cash flow Y1'!B3</f>
        <v>114.47999999999999</v>
      </c>
      <c r="C6">
        <f>'Other income'!$F$7*'Cash flow Y1'!C3</f>
        <v>114.47999999999999</v>
      </c>
      <c r="D6">
        <f>'Other income'!$F$7*'Cash flow Y1'!D3</f>
        <v>114.47999999999999</v>
      </c>
      <c r="E6">
        <f>'Other income'!$F$7*'Cash flow Y1'!E3</f>
        <v>114.47999999999999</v>
      </c>
      <c r="F6">
        <f>'Other income'!$F$7*'Cash flow Y1'!F3</f>
        <v>143.1</v>
      </c>
      <c r="G6" s="40">
        <f>('Other income'!$F$7*'Cash flow Y1'!G3)</f>
        <v>114.47999999999999</v>
      </c>
      <c r="H6">
        <f>'Other income'!$F$7*'Cash flow Y1'!H3</f>
        <v>143.1</v>
      </c>
      <c r="I6">
        <f>'Other income'!$F$7*'Cash flow Y1'!I3</f>
        <v>114.47999999999999</v>
      </c>
      <c r="J6">
        <f>'Other income'!$F$7*'Cash flow Y1'!J3</f>
        <v>143.1</v>
      </c>
      <c r="K6" s="40">
        <f>('Other income'!$F$7*'Cash flow Y1'!K3)</f>
        <v>114.47999999999999</v>
      </c>
      <c r="L6">
        <f>'Other income'!$F$7*'Cash flow Y1'!L3</f>
        <v>114.47999999999999</v>
      </c>
      <c r="M6">
        <f>'Other income'!$F$7*'Cash flow Y1'!M3</f>
        <v>143.1</v>
      </c>
      <c r="N6" s="5">
        <f>SUM(B6:M6)</f>
        <v>1488.24</v>
      </c>
      <c r="P6" s="62"/>
    </row>
    <row r="7" spans="1:16" x14ac:dyDescent="0.25">
      <c r="A7" t="s">
        <v>141</v>
      </c>
      <c r="B7" s="5">
        <v>0</v>
      </c>
      <c r="C7" s="5">
        <v>0</v>
      </c>
      <c r="D7" s="5">
        <v>0</v>
      </c>
      <c r="E7" s="5">
        <v>0</v>
      </c>
      <c r="F7" s="5">
        <v>200</v>
      </c>
      <c r="G7" s="5">
        <v>200</v>
      </c>
      <c r="H7" s="5">
        <v>200</v>
      </c>
      <c r="I7" s="5">
        <v>200</v>
      </c>
      <c r="J7" s="5">
        <v>200</v>
      </c>
      <c r="K7" s="5">
        <v>0</v>
      </c>
      <c r="L7" s="5">
        <v>0</v>
      </c>
      <c r="M7" s="5">
        <v>200</v>
      </c>
      <c r="N7" s="5">
        <f>SUM(B7:M7)</f>
        <v>1200</v>
      </c>
    </row>
    <row r="8" spans="1:16" x14ac:dyDescent="0.25">
      <c r="A8" t="s">
        <v>66</v>
      </c>
      <c r="B8" s="5">
        <f>Grants!$D$6/12</f>
        <v>1375</v>
      </c>
      <c r="C8" s="62">
        <f>Grants!$D$6/12</f>
        <v>1375</v>
      </c>
      <c r="D8" s="62">
        <f>Grants!$D$6/12</f>
        <v>1375</v>
      </c>
      <c r="E8" s="62">
        <f>Grants!$D$6/12</f>
        <v>1375</v>
      </c>
      <c r="F8" s="62">
        <f>Grants!$D$6/12</f>
        <v>1375</v>
      </c>
      <c r="G8" s="62">
        <f>Grants!$D$6/12</f>
        <v>1375</v>
      </c>
      <c r="H8" s="62">
        <f>Grants!$D$6/12</f>
        <v>1375</v>
      </c>
      <c r="I8" s="62">
        <f>Grants!$D$6/12</f>
        <v>1375</v>
      </c>
      <c r="J8" s="62">
        <f>Grants!$D$6/12</f>
        <v>1375</v>
      </c>
      <c r="K8" s="62">
        <f>Grants!$D$6/12</f>
        <v>1375</v>
      </c>
      <c r="L8" s="62">
        <f>Grants!$D$6/12</f>
        <v>1375</v>
      </c>
      <c r="M8" s="62">
        <f>Grants!$D$6/12</f>
        <v>1375</v>
      </c>
      <c r="N8" s="5">
        <f>SUM(B8:M8)</f>
        <v>16500</v>
      </c>
    </row>
    <row r="9" spans="1:16" x14ac:dyDescent="0.25">
      <c r="A9" t="s">
        <v>62</v>
      </c>
      <c r="B9" s="5">
        <f>Grants!$D$2/12</f>
        <v>0</v>
      </c>
      <c r="C9" s="5">
        <f>Grants!$D$2/12</f>
        <v>0</v>
      </c>
      <c r="D9" s="5">
        <f>Grants!$D$2/12</f>
        <v>0</v>
      </c>
      <c r="E9" s="5">
        <f>Grants!$D$2/12</f>
        <v>0</v>
      </c>
      <c r="F9" s="5">
        <f>Grants!$D$2/12</f>
        <v>0</v>
      </c>
      <c r="G9" s="5">
        <f>Grants!$D$2/12</f>
        <v>0</v>
      </c>
      <c r="H9" s="5">
        <f>Grants!$D$2/12</f>
        <v>0</v>
      </c>
      <c r="I9" s="5">
        <f>Grants!$D$2/12</f>
        <v>0</v>
      </c>
      <c r="J9" s="5">
        <f>Grants!$D$2/12</f>
        <v>0</v>
      </c>
      <c r="K9" s="5">
        <f>Grants!$D$2/12</f>
        <v>0</v>
      </c>
      <c r="L9" s="5">
        <f>Grants!$D$2/12</f>
        <v>0</v>
      </c>
      <c r="M9" s="5">
        <f>Grants!$D$2/12</f>
        <v>0</v>
      </c>
      <c r="N9" s="5">
        <f>SUM(B9:M9)</f>
        <v>0</v>
      </c>
    </row>
    <row r="10" spans="1:16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6" x14ac:dyDescent="0.25">
      <c r="A11" s="3" t="s">
        <v>59</v>
      </c>
      <c r="B11" s="15">
        <f t="shared" ref="B11:M11" si="1">SUM(B5:B9)</f>
        <v>4857.4799999999996</v>
      </c>
      <c r="C11" s="15">
        <f t="shared" si="1"/>
        <v>4857.4799999999996</v>
      </c>
      <c r="D11" s="15">
        <f t="shared" si="1"/>
        <v>4857.4799999999996</v>
      </c>
      <c r="E11" s="15">
        <f t="shared" si="1"/>
        <v>4857.4799999999996</v>
      </c>
      <c r="F11" s="15">
        <f t="shared" si="1"/>
        <v>5928.1</v>
      </c>
      <c r="G11" s="15">
        <f t="shared" si="1"/>
        <v>5057.4799999999996</v>
      </c>
      <c r="H11" s="15">
        <f t="shared" si="1"/>
        <v>2963.1</v>
      </c>
      <c r="I11" s="15">
        <f t="shared" si="1"/>
        <v>2685.48</v>
      </c>
      <c r="J11" s="15">
        <f t="shared" si="1"/>
        <v>5928.1</v>
      </c>
      <c r="K11" s="15">
        <f t="shared" si="1"/>
        <v>4857.4799999999996</v>
      </c>
      <c r="L11" s="15">
        <f t="shared" si="1"/>
        <v>4857.4799999999996</v>
      </c>
      <c r="M11" s="15">
        <f t="shared" si="1"/>
        <v>5928.1</v>
      </c>
      <c r="N11" s="15">
        <f>SUM(B11:M11)</f>
        <v>57635.24</v>
      </c>
    </row>
    <row r="12" spans="1:16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6" x14ac:dyDescent="0.25">
      <c r="A13" s="3" t="s">
        <v>63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0"/>
    </row>
    <row r="14" spans="1:16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5" t="s">
        <v>59</v>
      </c>
    </row>
    <row r="15" spans="1:16" x14ac:dyDescent="0.25">
      <c r="A15" t="s">
        <v>138</v>
      </c>
      <c r="B15" s="5">
        <f>Staffing!J8/12</f>
        <v>3940.4853066666669</v>
      </c>
      <c r="C15" s="5">
        <f>B15</f>
        <v>3940.4853066666669</v>
      </c>
      <c r="D15" s="5">
        <f t="shared" ref="D15:M15" si="2">C15</f>
        <v>3940.4853066666669</v>
      </c>
      <c r="E15" s="5">
        <f t="shared" si="2"/>
        <v>3940.4853066666669</v>
      </c>
      <c r="F15" s="5">
        <f t="shared" si="2"/>
        <v>3940.4853066666669</v>
      </c>
      <c r="G15" s="5">
        <f t="shared" si="2"/>
        <v>3940.4853066666669</v>
      </c>
      <c r="H15" s="5">
        <f t="shared" si="2"/>
        <v>3940.4853066666669</v>
      </c>
      <c r="I15" s="5">
        <f t="shared" si="2"/>
        <v>3940.4853066666669</v>
      </c>
      <c r="J15" s="5">
        <f t="shared" si="2"/>
        <v>3940.4853066666669</v>
      </c>
      <c r="K15" s="5">
        <f t="shared" si="2"/>
        <v>3940.4853066666669</v>
      </c>
      <c r="L15" s="5">
        <f t="shared" si="2"/>
        <v>3940.4853066666669</v>
      </c>
      <c r="M15" s="5">
        <f t="shared" si="2"/>
        <v>3940.4853066666669</v>
      </c>
      <c r="N15" s="21">
        <f>SUM(B15:M15)</f>
        <v>47285.823680000009</v>
      </c>
    </row>
    <row r="16" spans="1:16" x14ac:dyDescent="0.25">
      <c r="A16" t="s">
        <v>40</v>
      </c>
      <c r="B16" s="5">
        <f>Expenses!$B$8/12</f>
        <v>2.2566250000000001</v>
      </c>
      <c r="C16" s="5">
        <f>Expenses!$B$8/12</f>
        <v>2.2566250000000001</v>
      </c>
      <c r="D16" s="5">
        <f>Expenses!$B$8/12</f>
        <v>2.2566250000000001</v>
      </c>
      <c r="E16" s="5">
        <f>Expenses!$B$8/12</f>
        <v>2.2566250000000001</v>
      </c>
      <c r="F16" s="5">
        <f>Expenses!$B$8/12</f>
        <v>2.2566250000000001</v>
      </c>
      <c r="G16" s="5">
        <f>Expenses!$B$8/12</f>
        <v>2.2566250000000001</v>
      </c>
      <c r="H16" s="5">
        <f>Expenses!$B$8/12</f>
        <v>2.2566250000000001</v>
      </c>
      <c r="I16" s="5">
        <f>Expenses!$B$8/12</f>
        <v>2.2566250000000001</v>
      </c>
      <c r="J16" s="5">
        <f>Expenses!$B$8/12</f>
        <v>2.2566250000000001</v>
      </c>
      <c r="K16" s="5">
        <f>Expenses!$B$8/12</f>
        <v>2.2566250000000001</v>
      </c>
      <c r="L16" s="5">
        <f>Expenses!$B$8/12</f>
        <v>2.2566250000000001</v>
      </c>
      <c r="M16" s="5">
        <f>Expenses!$B$8/12</f>
        <v>2.2566250000000001</v>
      </c>
      <c r="N16" s="5">
        <f t="shared" ref="N16:N23" si="3">SUM(B16:M16)</f>
        <v>27.079499999999999</v>
      </c>
    </row>
    <row r="17" spans="1:16" x14ac:dyDescent="0.25">
      <c r="A17" t="s">
        <v>41</v>
      </c>
      <c r="B17" s="5">
        <f>Expenses!$B$9/12</f>
        <v>4.1501250000000001</v>
      </c>
      <c r="C17" s="5">
        <f>Expenses!$B$9/12</f>
        <v>4.1501250000000001</v>
      </c>
      <c r="D17" s="5">
        <f>Expenses!$B$9/12</f>
        <v>4.1501250000000001</v>
      </c>
      <c r="E17" s="5">
        <f>Expenses!$B$9/12</f>
        <v>4.1501250000000001</v>
      </c>
      <c r="F17" s="5">
        <f>Expenses!$B$9/12</f>
        <v>4.1501250000000001</v>
      </c>
      <c r="G17" s="5">
        <f>Expenses!$B$9/12</f>
        <v>4.1501250000000001</v>
      </c>
      <c r="H17" s="5">
        <f>Expenses!$B$9/12</f>
        <v>4.1501250000000001</v>
      </c>
      <c r="I17" s="5">
        <f>Expenses!$B$9/12</f>
        <v>4.1501250000000001</v>
      </c>
      <c r="J17" s="5">
        <f>Expenses!$B$9/12</f>
        <v>4.1501250000000001</v>
      </c>
      <c r="K17" s="5">
        <f>Expenses!$B$9/12</f>
        <v>4.1501250000000001</v>
      </c>
      <c r="L17" s="5">
        <f>Expenses!$B$9/12</f>
        <v>4.1501250000000001</v>
      </c>
      <c r="M17" s="5">
        <f>Expenses!$B$9/12</f>
        <v>4.1501250000000001</v>
      </c>
      <c r="N17" s="5">
        <f t="shared" si="3"/>
        <v>49.801500000000011</v>
      </c>
    </row>
    <row r="18" spans="1:16" x14ac:dyDescent="0.25">
      <c r="A18" t="s">
        <v>42</v>
      </c>
      <c r="B18" s="5">
        <f>Expenses!$B$10/12</f>
        <v>250</v>
      </c>
      <c r="C18" s="5">
        <f>Expenses!$B$10/12</f>
        <v>250</v>
      </c>
      <c r="D18" s="5">
        <f>Expenses!$B$10/12</f>
        <v>250</v>
      </c>
      <c r="E18" s="5">
        <f>Expenses!$B$10/12</f>
        <v>250</v>
      </c>
      <c r="F18" s="5">
        <f>Expenses!$B$10/12</f>
        <v>250</v>
      </c>
      <c r="G18" s="5">
        <f>Expenses!$B$10/12</f>
        <v>250</v>
      </c>
      <c r="H18" s="5">
        <f>Expenses!$B$10/12</f>
        <v>250</v>
      </c>
      <c r="I18" s="5">
        <f>Expenses!$B$10/12</f>
        <v>250</v>
      </c>
      <c r="J18" s="5">
        <f>Expenses!$B$10/12</f>
        <v>250</v>
      </c>
      <c r="K18" s="5">
        <f>Expenses!$B$10/12</f>
        <v>250</v>
      </c>
      <c r="L18" s="5">
        <f>Expenses!$B$10/12</f>
        <v>250</v>
      </c>
      <c r="M18" s="5">
        <f>Expenses!$B$10/12</f>
        <v>250</v>
      </c>
      <c r="N18" s="5">
        <f t="shared" si="3"/>
        <v>3000</v>
      </c>
    </row>
    <row r="19" spans="1:16" x14ac:dyDescent="0.25">
      <c r="A19" t="s">
        <v>64</v>
      </c>
      <c r="B19" s="5">
        <f>Expenses!$B$11/12</f>
        <v>32.362749999999998</v>
      </c>
      <c r="C19" s="5">
        <f>Expenses!$B$11/12</f>
        <v>32.362749999999998</v>
      </c>
      <c r="D19" s="5">
        <f>Expenses!$B$11/12</f>
        <v>32.362749999999998</v>
      </c>
      <c r="E19" s="5">
        <f>Expenses!$B$11/12</f>
        <v>32.362749999999998</v>
      </c>
      <c r="F19" s="5">
        <f>Expenses!$B$11/12</f>
        <v>32.362749999999998</v>
      </c>
      <c r="G19" s="5">
        <f>Expenses!$B$11/12</f>
        <v>32.362749999999998</v>
      </c>
      <c r="H19" s="5">
        <f>Expenses!$B$11/12</f>
        <v>32.362749999999998</v>
      </c>
      <c r="I19" s="5">
        <f>Expenses!$B$11/12</f>
        <v>32.362749999999998</v>
      </c>
      <c r="J19" s="5">
        <f>Expenses!$B$11/12</f>
        <v>32.362749999999998</v>
      </c>
      <c r="K19" s="5">
        <f>Expenses!$B$11/12</f>
        <v>32.362749999999998</v>
      </c>
      <c r="L19" s="5">
        <f>Expenses!$B$11/12</f>
        <v>32.362749999999998</v>
      </c>
      <c r="M19" s="5">
        <f>Expenses!$B$11/12</f>
        <v>32.362749999999998</v>
      </c>
      <c r="N19" s="5">
        <f t="shared" si="3"/>
        <v>388.35300000000001</v>
      </c>
    </row>
    <row r="20" spans="1:16" x14ac:dyDescent="0.25">
      <c r="A20" t="s">
        <v>44</v>
      </c>
      <c r="B20" s="5">
        <f>Expenses!$B$12/12</f>
        <v>14.652749999999999</v>
      </c>
      <c r="C20" s="5">
        <f>Expenses!$B$12/12</f>
        <v>14.652749999999999</v>
      </c>
      <c r="D20" s="5">
        <f>Expenses!$B$12/12</f>
        <v>14.652749999999999</v>
      </c>
      <c r="E20" s="5">
        <f>Expenses!$B$12/12</f>
        <v>14.652749999999999</v>
      </c>
      <c r="F20" s="5">
        <f>Expenses!$B$12/12</f>
        <v>14.652749999999999</v>
      </c>
      <c r="G20" s="5">
        <f>Expenses!$B$12/12</f>
        <v>14.652749999999999</v>
      </c>
      <c r="H20" s="5">
        <f>Expenses!$B$12/12</f>
        <v>14.652749999999999</v>
      </c>
      <c r="I20" s="5">
        <f>Expenses!$B$12/12</f>
        <v>14.652749999999999</v>
      </c>
      <c r="J20" s="5">
        <f>Expenses!$B$12/12</f>
        <v>14.652749999999999</v>
      </c>
      <c r="K20" s="5">
        <f>Expenses!$B$12/12</f>
        <v>14.652749999999999</v>
      </c>
      <c r="L20" s="5">
        <f>Expenses!$B$12/12</f>
        <v>14.652749999999999</v>
      </c>
      <c r="M20" s="5">
        <f>Expenses!$B$12/12</f>
        <v>14.652749999999999</v>
      </c>
      <c r="N20" s="5">
        <f t="shared" si="3"/>
        <v>175.833</v>
      </c>
    </row>
    <row r="21" spans="1:16" x14ac:dyDescent="0.25">
      <c r="A21" t="s">
        <v>45</v>
      </c>
      <c r="B21" s="5">
        <f>Expenses!$B$13/12</f>
        <v>21</v>
      </c>
      <c r="C21" s="5">
        <f>Expenses!$B$13/12</f>
        <v>21</v>
      </c>
      <c r="D21" s="5">
        <f>Expenses!$B$13/12</f>
        <v>21</v>
      </c>
      <c r="E21" s="5">
        <f>Expenses!$B$13/12</f>
        <v>21</v>
      </c>
      <c r="F21" s="5">
        <f>Expenses!$B$13/12</f>
        <v>21</v>
      </c>
      <c r="G21" s="5">
        <f>Expenses!$B$13/12</f>
        <v>21</v>
      </c>
      <c r="H21" s="5">
        <f>Expenses!$B$13/12</f>
        <v>21</v>
      </c>
      <c r="I21" s="5">
        <f>Expenses!$B$13/12</f>
        <v>21</v>
      </c>
      <c r="J21" s="5">
        <f>Expenses!$B$13/12</f>
        <v>21</v>
      </c>
      <c r="K21" s="5">
        <f>Expenses!$B$13/12</f>
        <v>21</v>
      </c>
      <c r="L21" s="5">
        <f>Expenses!$B$13/12</f>
        <v>21</v>
      </c>
      <c r="M21" s="5">
        <f>Expenses!$B$13/12</f>
        <v>21</v>
      </c>
      <c r="N21" s="5">
        <f t="shared" si="3"/>
        <v>252</v>
      </c>
    </row>
    <row r="22" spans="1:16" x14ac:dyDescent="0.25">
      <c r="A22" t="s">
        <v>46</v>
      </c>
      <c r="B22" s="5">
        <f>Expenses!$B$14/12</f>
        <v>13.125</v>
      </c>
      <c r="C22" s="5">
        <f>Expenses!$B$14/12</f>
        <v>13.125</v>
      </c>
      <c r="D22" s="5">
        <f>Expenses!$B$14/12</f>
        <v>13.125</v>
      </c>
      <c r="E22" s="5">
        <f>Expenses!$B$14/12</f>
        <v>13.125</v>
      </c>
      <c r="F22" s="5">
        <f>Expenses!$B$14/12</f>
        <v>13.125</v>
      </c>
      <c r="G22" s="5">
        <f>Expenses!$B$14/12</f>
        <v>13.125</v>
      </c>
      <c r="H22" s="5">
        <f>Expenses!$B$14/12</f>
        <v>13.125</v>
      </c>
      <c r="I22" s="5">
        <f>Expenses!$B$14/12</f>
        <v>13.125</v>
      </c>
      <c r="J22" s="5">
        <f>Expenses!$B$14/12</f>
        <v>13.125</v>
      </c>
      <c r="K22" s="5">
        <f>Expenses!$B$14/12</f>
        <v>13.125</v>
      </c>
      <c r="L22" s="5">
        <f>Expenses!$B$14/12</f>
        <v>13.125</v>
      </c>
      <c r="M22" s="5">
        <f>Expenses!$B$14/12</f>
        <v>13.125</v>
      </c>
      <c r="N22" s="5">
        <f t="shared" si="3"/>
        <v>157.5</v>
      </c>
    </row>
    <row r="23" spans="1:16" x14ac:dyDescent="0.25">
      <c r="A23" t="s">
        <v>47</v>
      </c>
      <c r="B23" s="5">
        <f>Expenses!$B$15/12</f>
        <v>233.33333333333334</v>
      </c>
      <c r="C23" s="5">
        <f>Expenses!$B$15/12</f>
        <v>233.33333333333334</v>
      </c>
      <c r="D23" s="5">
        <f>Expenses!$B$15/12</f>
        <v>233.33333333333334</v>
      </c>
      <c r="E23" s="5">
        <f>Expenses!$B$15/12</f>
        <v>233.33333333333334</v>
      </c>
      <c r="F23" s="5">
        <f>Expenses!$B$15/12</f>
        <v>233.33333333333334</v>
      </c>
      <c r="G23" s="5">
        <f>Expenses!$B$15/12</f>
        <v>233.33333333333334</v>
      </c>
      <c r="H23" s="5">
        <f>Expenses!$B$15/12</f>
        <v>233.33333333333334</v>
      </c>
      <c r="I23" s="5">
        <f>Expenses!$B$15/12</f>
        <v>233.33333333333334</v>
      </c>
      <c r="J23" s="5">
        <f>Expenses!$B$15/12</f>
        <v>233.33333333333334</v>
      </c>
      <c r="K23" s="5">
        <f>Expenses!$B$15/12</f>
        <v>233.33333333333334</v>
      </c>
      <c r="L23" s="5">
        <f>Expenses!$B$15/12</f>
        <v>233.33333333333334</v>
      </c>
      <c r="M23" s="5">
        <f>Expenses!$B$15/12</f>
        <v>233.33333333333334</v>
      </c>
      <c r="N23" s="5">
        <f t="shared" si="3"/>
        <v>2800.0000000000005</v>
      </c>
    </row>
    <row r="24" spans="1:16" x14ac:dyDescent="0.25">
      <c r="A24" t="s">
        <v>48</v>
      </c>
      <c r="B24" s="5">
        <f>Expenses!$B$16/12</f>
        <v>21</v>
      </c>
      <c r="C24" s="5">
        <f>Expenses!$B$16/12</f>
        <v>21</v>
      </c>
      <c r="D24" s="5">
        <f>Expenses!$B$16/12</f>
        <v>21</v>
      </c>
      <c r="E24" s="5">
        <f>Expenses!$B$16/12</f>
        <v>21</v>
      </c>
      <c r="F24" s="5">
        <f>Expenses!$B$16/12</f>
        <v>21</v>
      </c>
      <c r="G24" s="5">
        <f>Expenses!$B$16/12</f>
        <v>21</v>
      </c>
      <c r="H24" s="5">
        <f>Expenses!$B$16/12</f>
        <v>21</v>
      </c>
      <c r="I24" s="5">
        <f>Expenses!$B$16/12</f>
        <v>21</v>
      </c>
      <c r="J24" s="5">
        <f>Expenses!$B$16/12</f>
        <v>21</v>
      </c>
      <c r="K24" s="5">
        <f>Expenses!$B$16/12</f>
        <v>21</v>
      </c>
      <c r="L24" s="5">
        <f>Expenses!$B$16/12</f>
        <v>21</v>
      </c>
      <c r="M24" s="5">
        <f>Expenses!$B$16/12</f>
        <v>21</v>
      </c>
      <c r="N24" s="5">
        <f t="shared" ref="N24:N30" si="4">SUM(B24:M24)</f>
        <v>252</v>
      </c>
    </row>
    <row r="25" spans="1:16" x14ac:dyDescent="0.25">
      <c r="A25" t="s">
        <v>49</v>
      </c>
      <c r="B25" s="5">
        <f>Expenses!$B$17/12</f>
        <v>41.666666666666664</v>
      </c>
      <c r="C25" s="5">
        <f>Expenses!$B$17/12</f>
        <v>41.666666666666664</v>
      </c>
      <c r="D25" s="5">
        <f>Expenses!$B$17/12</f>
        <v>41.666666666666664</v>
      </c>
      <c r="E25" s="5">
        <f>Expenses!$B$17/12</f>
        <v>41.666666666666664</v>
      </c>
      <c r="F25" s="5">
        <f>Expenses!$B$17/12</f>
        <v>41.666666666666664</v>
      </c>
      <c r="G25" s="5">
        <f>Expenses!$B$17/12</f>
        <v>41.666666666666664</v>
      </c>
      <c r="H25" s="5">
        <f>Expenses!$B$17/12</f>
        <v>41.666666666666664</v>
      </c>
      <c r="I25" s="5">
        <f>Expenses!$B$17/12</f>
        <v>41.666666666666664</v>
      </c>
      <c r="J25" s="5">
        <f>Expenses!$B$17/12</f>
        <v>41.666666666666664</v>
      </c>
      <c r="K25" s="5">
        <f>Expenses!$B$17/12</f>
        <v>41.666666666666664</v>
      </c>
      <c r="L25" s="5">
        <f>Expenses!$B$17/12</f>
        <v>41.666666666666664</v>
      </c>
      <c r="M25" s="5">
        <f>Expenses!$B$17/12</f>
        <v>41.666666666666664</v>
      </c>
      <c r="N25" s="5">
        <f t="shared" si="4"/>
        <v>500.00000000000006</v>
      </c>
    </row>
    <row r="26" spans="1:16" x14ac:dyDescent="0.25">
      <c r="A26" t="s">
        <v>50</v>
      </c>
      <c r="B26" s="5">
        <f>Expenses!$B$18/12</f>
        <v>0.41666666666666669</v>
      </c>
      <c r="C26" s="5">
        <f>Expenses!$B$18/12</f>
        <v>0.41666666666666669</v>
      </c>
      <c r="D26" s="5">
        <f>Expenses!$B$18/12</f>
        <v>0.41666666666666669</v>
      </c>
      <c r="E26" s="5">
        <f>Expenses!$B$18/12</f>
        <v>0.41666666666666669</v>
      </c>
      <c r="F26" s="5">
        <f>Expenses!$B$18/12</f>
        <v>0.41666666666666669</v>
      </c>
      <c r="G26" s="5">
        <f>Expenses!$B$18/12</f>
        <v>0.41666666666666669</v>
      </c>
      <c r="H26" s="5">
        <f>Expenses!$B$18/12</f>
        <v>0.41666666666666669</v>
      </c>
      <c r="I26" s="5">
        <f>Expenses!$B$18/12</f>
        <v>0.41666666666666669</v>
      </c>
      <c r="J26" s="5">
        <f>Expenses!$B$18/12</f>
        <v>0.41666666666666669</v>
      </c>
      <c r="K26" s="5">
        <f>Expenses!$B$18/12</f>
        <v>0.41666666666666669</v>
      </c>
      <c r="L26" s="5">
        <f>Expenses!$B$18/12</f>
        <v>0.41666666666666669</v>
      </c>
      <c r="M26" s="5">
        <f>Expenses!$B$18/12</f>
        <v>0.41666666666666669</v>
      </c>
      <c r="N26" s="5">
        <f t="shared" si="4"/>
        <v>5</v>
      </c>
    </row>
    <row r="27" spans="1:16" x14ac:dyDescent="0.25">
      <c r="A27" t="s">
        <v>51</v>
      </c>
      <c r="B27" s="5">
        <f>Expenses!$B$19/12</f>
        <v>33.6</v>
      </c>
      <c r="C27" s="5">
        <f>Expenses!$B$19/12</f>
        <v>33.6</v>
      </c>
      <c r="D27" s="5">
        <f>Expenses!$B$19/12</f>
        <v>33.6</v>
      </c>
      <c r="E27" s="5">
        <f>Expenses!$B$19/12</f>
        <v>33.6</v>
      </c>
      <c r="F27" s="5">
        <f>Expenses!$B$19/12</f>
        <v>33.6</v>
      </c>
      <c r="G27" s="5">
        <f>Expenses!$B$19/12</f>
        <v>33.6</v>
      </c>
      <c r="H27" s="5">
        <f>Expenses!$B$19/12</f>
        <v>33.6</v>
      </c>
      <c r="I27" s="5">
        <f>Expenses!$B$19/12</f>
        <v>33.6</v>
      </c>
      <c r="J27" s="5">
        <f>Expenses!$B$19/12</f>
        <v>33.6</v>
      </c>
      <c r="K27" s="5">
        <f>Expenses!$B$19/12</f>
        <v>33.6</v>
      </c>
      <c r="L27" s="5">
        <f>Expenses!$B$19/12</f>
        <v>33.6</v>
      </c>
      <c r="M27" s="5">
        <f>Expenses!$B$19/12</f>
        <v>33.6</v>
      </c>
      <c r="N27" s="5">
        <f t="shared" si="4"/>
        <v>403.2000000000001</v>
      </c>
    </row>
    <row r="28" spans="1:16" x14ac:dyDescent="0.25">
      <c r="A28" t="s">
        <v>52</v>
      </c>
      <c r="B28" s="5">
        <f>Expenses!$B$20/12</f>
        <v>20</v>
      </c>
      <c r="C28" s="5">
        <f>Expenses!$B$20/12</f>
        <v>20</v>
      </c>
      <c r="D28" s="5">
        <f>Expenses!$B$20/12</f>
        <v>20</v>
      </c>
      <c r="E28" s="5">
        <f>Expenses!$B$20/12</f>
        <v>20</v>
      </c>
      <c r="F28" s="5">
        <f>Expenses!$B$20/12</f>
        <v>20</v>
      </c>
      <c r="G28" s="5">
        <f>Expenses!$B$20/12</f>
        <v>20</v>
      </c>
      <c r="H28" s="5">
        <f>Expenses!$B$20/12</f>
        <v>20</v>
      </c>
      <c r="I28" s="5">
        <f>Expenses!$B$20/12</f>
        <v>20</v>
      </c>
      <c r="J28" s="5">
        <f>Expenses!$B$20/12</f>
        <v>20</v>
      </c>
      <c r="K28" s="5">
        <f>Expenses!$B$20/12</f>
        <v>20</v>
      </c>
      <c r="L28" s="5">
        <f>Expenses!$B$20/12</f>
        <v>20</v>
      </c>
      <c r="M28" s="5">
        <f>Expenses!$B$20/12</f>
        <v>20</v>
      </c>
      <c r="N28" s="5">
        <f t="shared" si="4"/>
        <v>240</v>
      </c>
    </row>
    <row r="29" spans="1:16" x14ac:dyDescent="0.25">
      <c r="A29" t="s">
        <v>53</v>
      </c>
      <c r="B29" s="5">
        <f>Expenses!$B$21/12</f>
        <v>8.2906250000000004</v>
      </c>
      <c r="C29" s="5">
        <f>Expenses!$B$21/12</f>
        <v>8.2906250000000004</v>
      </c>
      <c r="D29" s="5">
        <f>Expenses!$B$21/12</f>
        <v>8.2906250000000004</v>
      </c>
      <c r="E29" s="5">
        <f>Expenses!$B$21/12</f>
        <v>8.2906250000000004</v>
      </c>
      <c r="F29" s="5">
        <f>Expenses!$B$21/12</f>
        <v>8.2906250000000004</v>
      </c>
      <c r="G29" s="5">
        <f>Expenses!$B$21/12</f>
        <v>8.2906250000000004</v>
      </c>
      <c r="H29" s="5">
        <f>Expenses!$B$21/12</f>
        <v>8.2906250000000004</v>
      </c>
      <c r="I29" s="5">
        <f>Expenses!$B$21/12</f>
        <v>8.2906250000000004</v>
      </c>
      <c r="J29" s="5">
        <f>Expenses!$B$21/12</f>
        <v>8.2906250000000004</v>
      </c>
      <c r="K29" s="5">
        <f>Expenses!$B$21/12</f>
        <v>8.2906250000000004</v>
      </c>
      <c r="L29" s="5">
        <f>Expenses!$B$21/12</f>
        <v>8.2906250000000004</v>
      </c>
      <c r="M29" s="5">
        <f>Expenses!$B$21/12</f>
        <v>8.2906250000000004</v>
      </c>
      <c r="N29" s="5">
        <f t="shared" si="4"/>
        <v>99.487500000000026</v>
      </c>
    </row>
    <row r="30" spans="1:16" x14ac:dyDescent="0.25">
      <c r="A30" t="s">
        <v>54</v>
      </c>
      <c r="B30" s="5">
        <f>Expenses!$B$22/12</f>
        <v>7.9012500000000001</v>
      </c>
      <c r="C30" s="5">
        <f>Expenses!$B$22/12</f>
        <v>7.9012500000000001</v>
      </c>
      <c r="D30" s="5">
        <f>Expenses!$B$22/12</f>
        <v>7.9012500000000001</v>
      </c>
      <c r="E30" s="5">
        <f>Expenses!$B$22/12</f>
        <v>7.9012500000000001</v>
      </c>
      <c r="F30" s="5">
        <f>Expenses!$B$22/12</f>
        <v>7.9012500000000001</v>
      </c>
      <c r="G30" s="5">
        <f>Expenses!$B$22/12</f>
        <v>7.9012500000000001</v>
      </c>
      <c r="H30" s="5">
        <f>Expenses!$B$22/12</f>
        <v>7.9012500000000001</v>
      </c>
      <c r="I30" s="5">
        <f>Expenses!$B$22/12</f>
        <v>7.9012500000000001</v>
      </c>
      <c r="J30" s="5">
        <f>Expenses!$B$22/12</f>
        <v>7.9012500000000001</v>
      </c>
      <c r="K30" s="5">
        <f>Expenses!$B$22/12</f>
        <v>7.9012500000000001</v>
      </c>
      <c r="L30" s="5">
        <f>Expenses!$B$22/12</f>
        <v>7.9012500000000001</v>
      </c>
      <c r="M30" s="5">
        <f>Expenses!$B$22/12</f>
        <v>7.9012500000000001</v>
      </c>
      <c r="N30" s="5">
        <f t="shared" si="4"/>
        <v>94.815000000000012</v>
      </c>
    </row>
    <row r="31" spans="1:16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x14ac:dyDescent="0.25">
      <c r="A32" s="3" t="s">
        <v>59</v>
      </c>
      <c r="B32" s="15">
        <f t="shared" ref="B32:M32" si="5">SUM(B15:B30)</f>
        <v>4644.2410983333348</v>
      </c>
      <c r="C32" s="15">
        <f t="shared" si="5"/>
        <v>4644.2410983333348</v>
      </c>
      <c r="D32" s="15">
        <f t="shared" si="5"/>
        <v>4644.2410983333348</v>
      </c>
      <c r="E32" s="15">
        <f t="shared" si="5"/>
        <v>4644.2410983333348</v>
      </c>
      <c r="F32" s="15">
        <f t="shared" si="5"/>
        <v>4644.2410983333348</v>
      </c>
      <c r="G32" s="15">
        <f t="shared" si="5"/>
        <v>4644.2410983333348</v>
      </c>
      <c r="H32" s="15">
        <f t="shared" si="5"/>
        <v>4644.2410983333348</v>
      </c>
      <c r="I32" s="15">
        <f t="shared" si="5"/>
        <v>4644.2410983333348</v>
      </c>
      <c r="J32" s="15">
        <f t="shared" si="5"/>
        <v>4644.2410983333348</v>
      </c>
      <c r="K32" s="15">
        <f t="shared" si="5"/>
        <v>4644.2410983333348</v>
      </c>
      <c r="L32" s="15">
        <f t="shared" si="5"/>
        <v>4644.2410983333348</v>
      </c>
      <c r="M32" s="15">
        <f t="shared" si="5"/>
        <v>4644.2410983333348</v>
      </c>
      <c r="N32" s="15">
        <f>SUM(B32:M32)</f>
        <v>55730.893180000006</v>
      </c>
      <c r="P32" s="62"/>
    </row>
    <row r="34" spans="1:14" x14ac:dyDescent="0.25">
      <c r="A34" t="s">
        <v>65</v>
      </c>
      <c r="B34" s="5">
        <f t="shared" ref="B34:M34" si="6">SUM(B11-B32)</f>
        <v>213.23890166666479</v>
      </c>
      <c r="C34" s="5">
        <f t="shared" si="6"/>
        <v>213.23890166666479</v>
      </c>
      <c r="D34" s="5">
        <f t="shared" si="6"/>
        <v>213.23890166666479</v>
      </c>
      <c r="E34" s="5">
        <f t="shared" si="6"/>
        <v>213.23890166666479</v>
      </c>
      <c r="F34" s="5">
        <f t="shared" si="6"/>
        <v>1283.8589016666656</v>
      </c>
      <c r="G34" s="5">
        <f t="shared" si="6"/>
        <v>413.23890166666479</v>
      </c>
      <c r="H34" s="5">
        <f t="shared" si="6"/>
        <v>-1681.1410983333349</v>
      </c>
      <c r="I34" s="5">
        <f t="shared" si="6"/>
        <v>-1958.7610983333348</v>
      </c>
      <c r="J34" s="5">
        <f t="shared" si="6"/>
        <v>1283.8589016666656</v>
      </c>
      <c r="K34" s="5">
        <f t="shared" si="6"/>
        <v>213.23890166666479</v>
      </c>
      <c r="L34" s="5">
        <f t="shared" si="6"/>
        <v>213.23890166666479</v>
      </c>
      <c r="M34" s="5">
        <f t="shared" si="6"/>
        <v>1283.8589016666656</v>
      </c>
      <c r="N34" s="5">
        <f>SUM(B34:M34)</f>
        <v>1904.3468199999807</v>
      </c>
    </row>
    <row r="37" spans="1:14" x14ac:dyDescent="0.25">
      <c r="N37" s="62"/>
    </row>
  </sheetData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E8" sqref="E8"/>
    </sheetView>
  </sheetViews>
  <sheetFormatPr defaultRowHeight="15" x14ac:dyDescent="0.25"/>
  <cols>
    <col min="1" max="1" width="44.85546875" style="61" customWidth="1"/>
    <col min="2" max="2" width="12.42578125" style="61" customWidth="1"/>
    <col min="3" max="3" width="10.7109375" style="61" customWidth="1"/>
    <col min="4" max="4" width="11" style="61" customWidth="1"/>
    <col min="5" max="5" width="10.5703125" style="61" customWidth="1"/>
    <col min="6" max="6" width="10.5703125" style="61" bestFit="1" customWidth="1"/>
    <col min="7" max="7" width="10.5703125" style="61" customWidth="1"/>
    <col min="8" max="8" width="9.85546875" style="61" bestFit="1" customWidth="1"/>
    <col min="9" max="9" width="10.140625" style="61" bestFit="1" customWidth="1"/>
    <col min="10" max="10" width="10.5703125" style="61" bestFit="1" customWidth="1"/>
    <col min="11" max="12" width="9.85546875" style="61" bestFit="1" customWidth="1"/>
    <col min="13" max="13" width="10.5703125" style="61" bestFit="1" customWidth="1"/>
    <col min="14" max="14" width="11.5703125" style="61" bestFit="1" customWidth="1"/>
    <col min="15" max="15" width="9.140625" style="61"/>
    <col min="16" max="16" width="10.85546875" style="61" bestFit="1" customWidth="1"/>
    <col min="17" max="16384" width="9.140625" style="61"/>
  </cols>
  <sheetData>
    <row r="1" spans="1:16" x14ac:dyDescent="0.25">
      <c r="B1" s="22" t="s">
        <v>151</v>
      </c>
      <c r="C1" s="22" t="s">
        <v>154</v>
      </c>
      <c r="D1" s="22" t="s">
        <v>155</v>
      </c>
      <c r="E1" s="22" t="s">
        <v>152</v>
      </c>
      <c r="F1" s="22" t="s">
        <v>153</v>
      </c>
      <c r="G1" s="22" t="s">
        <v>156</v>
      </c>
      <c r="H1" s="22" t="s">
        <v>157</v>
      </c>
      <c r="I1" s="22" t="s">
        <v>158</v>
      </c>
      <c r="J1" s="22" t="s">
        <v>159</v>
      </c>
      <c r="K1" s="22" t="s">
        <v>160</v>
      </c>
      <c r="L1" s="22" t="s">
        <v>161</v>
      </c>
      <c r="M1" s="22" t="s">
        <v>162</v>
      </c>
      <c r="N1" s="41" t="s">
        <v>59</v>
      </c>
    </row>
    <row r="2" spans="1:16" x14ac:dyDescent="0.25">
      <c r="A2" s="61" t="s">
        <v>67</v>
      </c>
      <c r="B2" s="62">
        <f>'Sample schedule'!$F$41*1.05</f>
        <v>884.1</v>
      </c>
      <c r="C2" s="62">
        <f>'Sample schedule'!$F$41*1.05</f>
        <v>884.1</v>
      </c>
      <c r="D2" s="62">
        <f>'Sample schedule'!$F$41*1.05</f>
        <v>884.1</v>
      </c>
      <c r="E2" s="62">
        <f>'Sample schedule'!$F$41*1.05</f>
        <v>884.1</v>
      </c>
      <c r="F2" s="62">
        <f>'Sample schedule'!$F$41*1.05</f>
        <v>884.1</v>
      </c>
      <c r="G2" s="62">
        <f>'Sample schedule'!$F$41*1.05</f>
        <v>884.1</v>
      </c>
      <c r="H2" s="62">
        <f>'Sample schedule'!$F$42*1.05</f>
        <v>261.45</v>
      </c>
      <c r="I2" s="62">
        <f>'Sample schedule'!$F$42*1.05</f>
        <v>261.45</v>
      </c>
      <c r="J2" s="62">
        <f>'Sample schedule'!$F$41*1.05</f>
        <v>884.1</v>
      </c>
      <c r="K2" s="62">
        <f>'Sample schedule'!$F$41*1.05</f>
        <v>884.1</v>
      </c>
      <c r="L2" s="62">
        <f>'Sample schedule'!$F$41*1.05</f>
        <v>884.1</v>
      </c>
      <c r="M2" s="62">
        <f>'Sample schedule'!$F$41*1.05</f>
        <v>884.1</v>
      </c>
      <c r="N2" s="18"/>
      <c r="O2" s="61" t="s">
        <v>163</v>
      </c>
    </row>
    <row r="3" spans="1:16" x14ac:dyDescent="0.25">
      <c r="A3" s="61" t="s">
        <v>139</v>
      </c>
      <c r="B3" s="18">
        <v>4</v>
      </c>
      <c r="C3" s="18">
        <v>4</v>
      </c>
      <c r="D3" s="18">
        <v>4</v>
      </c>
      <c r="E3" s="18">
        <v>4</v>
      </c>
      <c r="F3" s="18">
        <v>5</v>
      </c>
      <c r="G3" s="18">
        <v>4</v>
      </c>
      <c r="H3" s="18">
        <v>5</v>
      </c>
      <c r="I3" s="18">
        <v>4</v>
      </c>
      <c r="J3" s="18">
        <v>5</v>
      </c>
      <c r="K3" s="18">
        <v>4</v>
      </c>
      <c r="L3" s="18">
        <v>4</v>
      </c>
      <c r="M3" s="18">
        <v>5</v>
      </c>
      <c r="N3" s="18"/>
    </row>
    <row r="4" spans="1:1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6" x14ac:dyDescent="0.25">
      <c r="A5" s="61" t="s">
        <v>61</v>
      </c>
      <c r="B5" s="62">
        <f>B2*B3</f>
        <v>3536.4</v>
      </c>
      <c r="C5" s="62">
        <f t="shared" ref="C5:M5" si="0">C2*C3</f>
        <v>3536.4</v>
      </c>
      <c r="D5" s="62">
        <f t="shared" si="0"/>
        <v>3536.4</v>
      </c>
      <c r="E5" s="62">
        <f t="shared" si="0"/>
        <v>3536.4</v>
      </c>
      <c r="F5" s="62">
        <f t="shared" si="0"/>
        <v>4420.5</v>
      </c>
      <c r="G5" s="62">
        <f t="shared" si="0"/>
        <v>3536.4</v>
      </c>
      <c r="H5" s="62">
        <f t="shared" si="0"/>
        <v>1307.25</v>
      </c>
      <c r="I5" s="62">
        <f t="shared" si="0"/>
        <v>1045.8</v>
      </c>
      <c r="J5" s="62">
        <f t="shared" si="0"/>
        <v>4420.5</v>
      </c>
      <c r="K5" s="62">
        <f t="shared" si="0"/>
        <v>3536.4</v>
      </c>
      <c r="L5" s="62">
        <f t="shared" si="0"/>
        <v>3536.4</v>
      </c>
      <c r="M5" s="62">
        <f t="shared" si="0"/>
        <v>4420.5</v>
      </c>
      <c r="N5" s="62">
        <f>SUM(B5:M5)</f>
        <v>40369.35</v>
      </c>
    </row>
    <row r="6" spans="1:16" x14ac:dyDescent="0.25">
      <c r="A6" s="61" t="s">
        <v>142</v>
      </c>
      <c r="B6" s="62">
        <f>'Cash flow Y1'!B6*1.03</f>
        <v>117.91439999999999</v>
      </c>
      <c r="C6" s="62">
        <f>'Cash flow Y1'!C6*1.03</f>
        <v>117.91439999999999</v>
      </c>
      <c r="D6" s="62">
        <f>'Cash flow Y1'!D6*1.03</f>
        <v>117.91439999999999</v>
      </c>
      <c r="E6" s="62">
        <f>'Cash flow Y1'!E6*1.03</f>
        <v>117.91439999999999</v>
      </c>
      <c r="F6" s="62">
        <f>'Cash flow Y1'!F6*1.03</f>
        <v>147.393</v>
      </c>
      <c r="G6" s="62">
        <f>'Cash flow Y1'!G6*1.03</f>
        <v>117.91439999999999</v>
      </c>
      <c r="H6" s="62">
        <f>'Cash flow Y1'!H6*1.03</f>
        <v>147.393</v>
      </c>
      <c r="I6" s="62">
        <f>'Cash flow Y1'!I6*1.03</f>
        <v>117.91439999999999</v>
      </c>
      <c r="J6" s="62">
        <f>'Cash flow Y1'!J6*1.03</f>
        <v>147.393</v>
      </c>
      <c r="K6" s="62">
        <f>'Cash flow Y1'!K6*1.03</f>
        <v>117.91439999999999</v>
      </c>
      <c r="L6" s="62">
        <f>'Cash flow Y1'!L6*1.03</f>
        <v>117.91439999999999</v>
      </c>
      <c r="M6" s="62">
        <f>'Cash flow Y1'!M6*1.03</f>
        <v>147.393</v>
      </c>
      <c r="N6" s="62">
        <f>SUM(B6:M6)</f>
        <v>1532.8871999999997</v>
      </c>
      <c r="O6" s="61" t="s">
        <v>178</v>
      </c>
      <c r="P6" s="62"/>
    </row>
    <row r="7" spans="1:16" x14ac:dyDescent="0.25">
      <c r="A7" s="61" t="s">
        <v>141</v>
      </c>
      <c r="B7" s="62">
        <v>0</v>
      </c>
      <c r="C7" s="62">
        <v>0</v>
      </c>
      <c r="D7" s="62">
        <v>0</v>
      </c>
      <c r="E7" s="62">
        <v>0</v>
      </c>
      <c r="F7" s="62">
        <v>200</v>
      </c>
      <c r="G7" s="62">
        <v>200</v>
      </c>
      <c r="H7" s="62">
        <v>200</v>
      </c>
      <c r="I7" s="62">
        <v>200</v>
      </c>
      <c r="J7" s="62">
        <v>200</v>
      </c>
      <c r="K7" s="62">
        <v>0</v>
      </c>
      <c r="L7" s="62">
        <v>0</v>
      </c>
      <c r="M7" s="62">
        <v>200</v>
      </c>
      <c r="N7" s="62">
        <f>SUM(B7:M7)</f>
        <v>1200</v>
      </c>
    </row>
    <row r="8" spans="1:16" x14ac:dyDescent="0.25">
      <c r="A8" s="61" t="s">
        <v>66</v>
      </c>
      <c r="B8" s="62">
        <f>Grants!$D$6/12</f>
        <v>1375</v>
      </c>
      <c r="C8" s="62">
        <f>Grants!$D$6/12</f>
        <v>1375</v>
      </c>
      <c r="D8" s="62">
        <f>Grants!$D$6/12</f>
        <v>1375</v>
      </c>
      <c r="E8" s="62">
        <f>Grants!$D$6/12</f>
        <v>1375</v>
      </c>
      <c r="F8" s="62">
        <f>Grants!$D$6/12</f>
        <v>1375</v>
      </c>
      <c r="G8" s="62">
        <f>Grants!$D$6/12</f>
        <v>1375</v>
      </c>
      <c r="H8" s="62">
        <f>Grants!$D$6/12</f>
        <v>1375</v>
      </c>
      <c r="I8" s="62">
        <f>Grants!$D$6/12</f>
        <v>1375</v>
      </c>
      <c r="J8" s="62">
        <f>Grants!$D$6/12</f>
        <v>1375</v>
      </c>
      <c r="K8" s="62">
        <f>Grants!$D$6/12</f>
        <v>1375</v>
      </c>
      <c r="L8" s="62">
        <f>Grants!$D$6/12</f>
        <v>1375</v>
      </c>
      <c r="M8" s="62">
        <f>Grants!$D$6/12</f>
        <v>1375</v>
      </c>
      <c r="N8" s="62">
        <f>SUM(B8:M8)</f>
        <v>16500</v>
      </c>
    </row>
    <row r="9" spans="1:16" x14ac:dyDescent="0.25">
      <c r="A9" s="61" t="s">
        <v>62</v>
      </c>
      <c r="B9" s="62">
        <f>Grants!$D$2/12</f>
        <v>0</v>
      </c>
      <c r="C9" s="62">
        <f>Grants!$D$2/12</f>
        <v>0</v>
      </c>
      <c r="D9" s="62">
        <f>Grants!$D$2/12</f>
        <v>0</v>
      </c>
      <c r="E9" s="62">
        <f>Grants!$D$2/12</f>
        <v>0</v>
      </c>
      <c r="F9" s="62">
        <f>Grants!$D$2/12</f>
        <v>0</v>
      </c>
      <c r="G9" s="62">
        <f>Grants!$D$2/12</f>
        <v>0</v>
      </c>
      <c r="H9" s="62">
        <f>Grants!$D$2/12</f>
        <v>0</v>
      </c>
      <c r="I9" s="62">
        <f>Grants!$D$2/12</f>
        <v>0</v>
      </c>
      <c r="J9" s="62">
        <f>Grants!$D$2/12</f>
        <v>0</v>
      </c>
      <c r="K9" s="62">
        <f>Grants!$D$2/12</f>
        <v>0</v>
      </c>
      <c r="L9" s="62">
        <f>Grants!$D$2/12</f>
        <v>0</v>
      </c>
      <c r="M9" s="62">
        <f>Grants!$D$2/12</f>
        <v>0</v>
      </c>
      <c r="N9" s="62">
        <f>SUM(B9:M9)</f>
        <v>0</v>
      </c>
    </row>
    <row r="10" spans="1:16" x14ac:dyDescent="0.2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x14ac:dyDescent="0.25">
      <c r="A11" s="41" t="s">
        <v>59</v>
      </c>
      <c r="B11" s="15">
        <f t="shared" ref="B11:M11" si="1">SUM(B5:B9)</f>
        <v>5029.3144000000002</v>
      </c>
      <c r="C11" s="15">
        <f t="shared" si="1"/>
        <v>5029.3144000000002</v>
      </c>
      <c r="D11" s="15">
        <f t="shared" si="1"/>
        <v>5029.3144000000002</v>
      </c>
      <c r="E11" s="15">
        <f t="shared" si="1"/>
        <v>5029.3144000000002</v>
      </c>
      <c r="F11" s="15">
        <f t="shared" si="1"/>
        <v>6142.893</v>
      </c>
      <c r="G11" s="15">
        <f t="shared" si="1"/>
        <v>5229.3144000000002</v>
      </c>
      <c r="H11" s="15">
        <f t="shared" si="1"/>
        <v>3029.643</v>
      </c>
      <c r="I11" s="15">
        <f t="shared" si="1"/>
        <v>2738.7143999999998</v>
      </c>
      <c r="J11" s="15">
        <f t="shared" si="1"/>
        <v>6142.893</v>
      </c>
      <c r="K11" s="15">
        <f t="shared" si="1"/>
        <v>5029.3144000000002</v>
      </c>
      <c r="L11" s="15">
        <f t="shared" si="1"/>
        <v>5029.3144000000002</v>
      </c>
      <c r="M11" s="15">
        <f t="shared" si="1"/>
        <v>6142.893</v>
      </c>
      <c r="N11" s="15">
        <f>SUM(B11:M11)</f>
        <v>59602.237200000003</v>
      </c>
    </row>
    <row r="12" spans="1:16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6" x14ac:dyDescent="0.25">
      <c r="A13" s="41" t="s">
        <v>63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20"/>
    </row>
    <row r="14" spans="1:16" x14ac:dyDescent="0.2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5" t="s">
        <v>59</v>
      </c>
    </row>
    <row r="15" spans="1:16" x14ac:dyDescent="0.25">
      <c r="A15" s="61" t="s">
        <v>138</v>
      </c>
      <c r="B15" s="62">
        <f>(Staffing!J8/12)*1.03</f>
        <v>4058.6998658666671</v>
      </c>
      <c r="C15" s="62">
        <f>B15</f>
        <v>4058.6998658666671</v>
      </c>
      <c r="D15" s="62">
        <f t="shared" ref="D15:M15" si="2">C15</f>
        <v>4058.6998658666671</v>
      </c>
      <c r="E15" s="62">
        <f t="shared" si="2"/>
        <v>4058.6998658666671</v>
      </c>
      <c r="F15" s="62">
        <f t="shared" si="2"/>
        <v>4058.6998658666671</v>
      </c>
      <c r="G15" s="62">
        <f t="shared" si="2"/>
        <v>4058.6998658666671</v>
      </c>
      <c r="H15" s="62">
        <f t="shared" si="2"/>
        <v>4058.6998658666671</v>
      </c>
      <c r="I15" s="62">
        <f t="shared" si="2"/>
        <v>4058.6998658666671</v>
      </c>
      <c r="J15" s="62">
        <f t="shared" si="2"/>
        <v>4058.6998658666671</v>
      </c>
      <c r="K15" s="62">
        <f t="shared" si="2"/>
        <v>4058.6998658666671</v>
      </c>
      <c r="L15" s="62">
        <f t="shared" si="2"/>
        <v>4058.6998658666671</v>
      </c>
      <c r="M15" s="62">
        <f t="shared" si="2"/>
        <v>4058.6998658666671</v>
      </c>
      <c r="N15" s="21">
        <f>SUM(B15:M15)</f>
        <v>48704.39839040002</v>
      </c>
    </row>
    <row r="16" spans="1:16" x14ac:dyDescent="0.25">
      <c r="A16" s="61" t="s">
        <v>40</v>
      </c>
      <c r="B16" s="62">
        <f>(Expenses!$B$8/12)*1.03</f>
        <v>2.32432375</v>
      </c>
      <c r="C16" s="62">
        <f>Expenses!$B$8/12</f>
        <v>2.2566250000000001</v>
      </c>
      <c r="D16" s="62">
        <f>Expenses!$B$8/12</f>
        <v>2.2566250000000001</v>
      </c>
      <c r="E16" s="62">
        <f>Expenses!$B$8/12</f>
        <v>2.2566250000000001</v>
      </c>
      <c r="F16" s="62">
        <f>Expenses!$B$8/12</f>
        <v>2.2566250000000001</v>
      </c>
      <c r="G16" s="62">
        <f>Expenses!$B$8/12</f>
        <v>2.2566250000000001</v>
      </c>
      <c r="H16" s="62">
        <f>Expenses!$B$8/12</f>
        <v>2.2566250000000001</v>
      </c>
      <c r="I16" s="62">
        <f>Expenses!$B$8/12</f>
        <v>2.2566250000000001</v>
      </c>
      <c r="J16" s="62">
        <f>Expenses!$B$8/12</f>
        <v>2.2566250000000001</v>
      </c>
      <c r="K16" s="62">
        <f>Expenses!$B$8/12</f>
        <v>2.2566250000000001</v>
      </c>
      <c r="L16" s="62">
        <f>Expenses!$B$8/12</f>
        <v>2.2566250000000001</v>
      </c>
      <c r="M16" s="62">
        <f>Expenses!$B$8/12</f>
        <v>2.2566250000000001</v>
      </c>
      <c r="N16" s="62">
        <f t="shared" ref="N16:N30" si="3">SUM(B16:M16)</f>
        <v>27.147198749999998</v>
      </c>
    </row>
    <row r="17" spans="1:16" x14ac:dyDescent="0.25">
      <c r="A17" s="61" t="s">
        <v>41</v>
      </c>
      <c r="B17" s="62">
        <f>(Expenses!$B$9/12)*1.03</f>
        <v>4.2746287499999998</v>
      </c>
      <c r="C17" s="62">
        <f>(Expenses!$B$9/12)*1.03</f>
        <v>4.2746287499999998</v>
      </c>
      <c r="D17" s="62">
        <f>(Expenses!$B$9/12)*1.03</f>
        <v>4.2746287499999998</v>
      </c>
      <c r="E17" s="62">
        <f>(Expenses!$B$9/12)*1.03</f>
        <v>4.2746287499999998</v>
      </c>
      <c r="F17" s="62">
        <f>(Expenses!$B$9/12)*1.03</f>
        <v>4.2746287499999998</v>
      </c>
      <c r="G17" s="62">
        <f>(Expenses!$B$9/12)*1.03</f>
        <v>4.2746287499999998</v>
      </c>
      <c r="H17" s="62">
        <f>(Expenses!$B$9/12)*1.03</f>
        <v>4.2746287499999998</v>
      </c>
      <c r="I17" s="62">
        <f>(Expenses!$B$9/12)*1.03</f>
        <v>4.2746287499999998</v>
      </c>
      <c r="J17" s="62">
        <f>(Expenses!$B$9/12)*1.03</f>
        <v>4.2746287499999998</v>
      </c>
      <c r="K17" s="62">
        <f>(Expenses!$B$9/12)*1.03</f>
        <v>4.2746287499999998</v>
      </c>
      <c r="L17" s="62">
        <f>(Expenses!$B$9/12)*1.03</f>
        <v>4.2746287499999998</v>
      </c>
      <c r="M17" s="62">
        <f>(Expenses!$B$9/12)*1.03</f>
        <v>4.2746287499999998</v>
      </c>
      <c r="N17" s="62">
        <f t="shared" si="3"/>
        <v>51.295544999999983</v>
      </c>
    </row>
    <row r="18" spans="1:16" x14ac:dyDescent="0.25">
      <c r="A18" s="61" t="s">
        <v>42</v>
      </c>
      <c r="B18" s="62">
        <f>(Expenses!$B$10/12)*1.03</f>
        <v>257.5</v>
      </c>
      <c r="C18" s="62">
        <f>(Expenses!$B$10/12)*1.03</f>
        <v>257.5</v>
      </c>
      <c r="D18" s="62">
        <f>(Expenses!$B$10/12)*1.03</f>
        <v>257.5</v>
      </c>
      <c r="E18" s="62">
        <f>(Expenses!$B$10/12)*1.03</f>
        <v>257.5</v>
      </c>
      <c r="F18" s="62">
        <f>(Expenses!$B$10/12)*1.03</f>
        <v>257.5</v>
      </c>
      <c r="G18" s="62">
        <f>(Expenses!$B$10/12)*1.03</f>
        <v>257.5</v>
      </c>
      <c r="H18" s="62">
        <f>(Expenses!$B$10/12)*1.03</f>
        <v>257.5</v>
      </c>
      <c r="I18" s="62">
        <f>(Expenses!$B$10/12)*1.03</f>
        <v>257.5</v>
      </c>
      <c r="J18" s="62">
        <f>(Expenses!$B$10/12)*1.03</f>
        <v>257.5</v>
      </c>
      <c r="K18" s="62">
        <f>(Expenses!$B$10/12)*1.03</f>
        <v>257.5</v>
      </c>
      <c r="L18" s="62">
        <f>(Expenses!$B$10/12)*1.03</f>
        <v>257.5</v>
      </c>
      <c r="M18" s="62">
        <f>(Expenses!$B$10/12)*1.03</f>
        <v>257.5</v>
      </c>
      <c r="N18" s="62">
        <f t="shared" si="3"/>
        <v>3090</v>
      </c>
    </row>
    <row r="19" spans="1:16" x14ac:dyDescent="0.25">
      <c r="A19" s="61" t="s">
        <v>64</v>
      </c>
      <c r="B19" s="62">
        <f>(Expenses!$B$11/12)*1.03</f>
        <v>33.3336325</v>
      </c>
      <c r="C19" s="62">
        <f>(Expenses!$B$11/12)*1.03</f>
        <v>33.3336325</v>
      </c>
      <c r="D19" s="62">
        <f>(Expenses!$B$11/12)*1.03</f>
        <v>33.3336325</v>
      </c>
      <c r="E19" s="62">
        <f>(Expenses!$B$11/12)*1.03</f>
        <v>33.3336325</v>
      </c>
      <c r="F19" s="62">
        <f>(Expenses!$B$11/12)*1.03</f>
        <v>33.3336325</v>
      </c>
      <c r="G19" s="62">
        <f>(Expenses!$B$11/12)*1.03</f>
        <v>33.3336325</v>
      </c>
      <c r="H19" s="62">
        <f>(Expenses!$B$11/12)*1.03</f>
        <v>33.3336325</v>
      </c>
      <c r="I19" s="62">
        <f>(Expenses!$B$11/12)*1.03</f>
        <v>33.3336325</v>
      </c>
      <c r="J19" s="62">
        <f>(Expenses!$B$11/12)*1.03</f>
        <v>33.3336325</v>
      </c>
      <c r="K19" s="62">
        <f>(Expenses!$B$11/12)*1.03</f>
        <v>33.3336325</v>
      </c>
      <c r="L19" s="62">
        <f>(Expenses!$B$11/12)*1.03</f>
        <v>33.3336325</v>
      </c>
      <c r="M19" s="62">
        <f>(Expenses!$B$11/12)*1.03</f>
        <v>33.3336325</v>
      </c>
      <c r="N19" s="62">
        <f t="shared" si="3"/>
        <v>400.00359000000009</v>
      </c>
    </row>
    <row r="20" spans="1:16" x14ac:dyDescent="0.25">
      <c r="A20" s="61" t="s">
        <v>44</v>
      </c>
      <c r="B20" s="62">
        <f>(Expenses!$B$12/12)*1.03</f>
        <v>15.092332499999999</v>
      </c>
      <c r="C20" s="62">
        <f>(Expenses!$B$12/12)*1.03</f>
        <v>15.092332499999999</v>
      </c>
      <c r="D20" s="62">
        <f>(Expenses!$B$12/12)*1.03</f>
        <v>15.092332499999999</v>
      </c>
      <c r="E20" s="62">
        <f>(Expenses!$B$12/12)*1.03</f>
        <v>15.092332499999999</v>
      </c>
      <c r="F20" s="62">
        <f>(Expenses!$B$12/12)*1.03</f>
        <v>15.092332499999999</v>
      </c>
      <c r="G20" s="62">
        <f>(Expenses!$B$12/12)*1.03</f>
        <v>15.092332499999999</v>
      </c>
      <c r="H20" s="62">
        <f>(Expenses!$B$12/12)*1.03</f>
        <v>15.092332499999999</v>
      </c>
      <c r="I20" s="62">
        <f>(Expenses!$B$12/12)*1.03</f>
        <v>15.092332499999999</v>
      </c>
      <c r="J20" s="62">
        <f>(Expenses!$B$12/12)*1.03</f>
        <v>15.092332499999999</v>
      </c>
      <c r="K20" s="62">
        <f>(Expenses!$B$12/12)*1.03</f>
        <v>15.092332499999999</v>
      </c>
      <c r="L20" s="62">
        <f>(Expenses!$B$12/12)*1.03</f>
        <v>15.092332499999999</v>
      </c>
      <c r="M20" s="62">
        <f>(Expenses!$B$12/12)*1.03</f>
        <v>15.092332499999999</v>
      </c>
      <c r="N20" s="62">
        <f t="shared" si="3"/>
        <v>181.10799</v>
      </c>
    </row>
    <row r="21" spans="1:16" x14ac:dyDescent="0.25">
      <c r="A21" s="61" t="s">
        <v>45</v>
      </c>
      <c r="B21" s="62">
        <f>(Expenses!$B$13/12)*1.03</f>
        <v>21.63</v>
      </c>
      <c r="C21" s="62">
        <f>(Expenses!$B$13/12)*1.03</f>
        <v>21.63</v>
      </c>
      <c r="D21" s="62">
        <f>(Expenses!$B$13/12)*1.03</f>
        <v>21.63</v>
      </c>
      <c r="E21" s="62">
        <f>(Expenses!$B$13/12)*1.03</f>
        <v>21.63</v>
      </c>
      <c r="F21" s="62">
        <f>(Expenses!$B$13/12)*1.03</f>
        <v>21.63</v>
      </c>
      <c r="G21" s="62">
        <f>(Expenses!$B$13/12)*1.03</f>
        <v>21.63</v>
      </c>
      <c r="H21" s="62">
        <f>(Expenses!$B$13/12)*1.03</f>
        <v>21.63</v>
      </c>
      <c r="I21" s="62">
        <f>(Expenses!$B$13/12)*1.03</f>
        <v>21.63</v>
      </c>
      <c r="J21" s="62">
        <f>(Expenses!$B$13/12)*1.03</f>
        <v>21.63</v>
      </c>
      <c r="K21" s="62">
        <f>(Expenses!$B$13/12)*1.03</f>
        <v>21.63</v>
      </c>
      <c r="L21" s="62">
        <f>(Expenses!$B$13/12)*1.03</f>
        <v>21.63</v>
      </c>
      <c r="M21" s="62">
        <f>(Expenses!$B$13/12)*1.03</f>
        <v>21.63</v>
      </c>
      <c r="N21" s="62">
        <f t="shared" si="3"/>
        <v>259.56</v>
      </c>
    </row>
    <row r="22" spans="1:16" x14ac:dyDescent="0.25">
      <c r="A22" s="61" t="s">
        <v>46</v>
      </c>
      <c r="B22" s="62">
        <f>(Expenses!$B$14/12)*1.03</f>
        <v>13.518750000000001</v>
      </c>
      <c r="C22" s="62">
        <f>(Expenses!$B$14/12)*1.03</f>
        <v>13.518750000000001</v>
      </c>
      <c r="D22" s="62">
        <f>(Expenses!$B$14/12)*1.03</f>
        <v>13.518750000000001</v>
      </c>
      <c r="E22" s="62">
        <f>(Expenses!$B$14/12)*1.03</f>
        <v>13.518750000000001</v>
      </c>
      <c r="F22" s="62">
        <f>(Expenses!$B$14/12)*1.03</f>
        <v>13.518750000000001</v>
      </c>
      <c r="G22" s="62">
        <f>(Expenses!$B$14/12)*1.03</f>
        <v>13.518750000000001</v>
      </c>
      <c r="H22" s="62">
        <f>(Expenses!$B$14/12)*1.03</f>
        <v>13.518750000000001</v>
      </c>
      <c r="I22" s="62">
        <f>(Expenses!$B$14/12)*1.03</f>
        <v>13.518750000000001</v>
      </c>
      <c r="J22" s="62">
        <f>(Expenses!$B$14/12)*1.03</f>
        <v>13.518750000000001</v>
      </c>
      <c r="K22" s="62">
        <f>(Expenses!$B$14/12)*1.03</f>
        <v>13.518750000000001</v>
      </c>
      <c r="L22" s="62">
        <f>(Expenses!$B$14/12)*1.03</f>
        <v>13.518750000000001</v>
      </c>
      <c r="M22" s="62">
        <f>(Expenses!$B$14/12)*1.03</f>
        <v>13.518750000000001</v>
      </c>
      <c r="N22" s="62">
        <f t="shared" si="3"/>
        <v>162.22500000000002</v>
      </c>
    </row>
    <row r="23" spans="1:16" x14ac:dyDescent="0.25">
      <c r="A23" s="61" t="s">
        <v>47</v>
      </c>
      <c r="B23" s="62">
        <f>(Expenses!$B$15/12)*1.03</f>
        <v>240.33333333333334</v>
      </c>
      <c r="C23" s="62">
        <f>(Expenses!$B$15/12)*1.03</f>
        <v>240.33333333333334</v>
      </c>
      <c r="D23" s="62">
        <f>(Expenses!$B$15/12)*1.03</f>
        <v>240.33333333333334</v>
      </c>
      <c r="E23" s="62">
        <f>(Expenses!$B$15/12)*1.03</f>
        <v>240.33333333333334</v>
      </c>
      <c r="F23" s="62">
        <f>(Expenses!$B$15/12)*1.03</f>
        <v>240.33333333333334</v>
      </c>
      <c r="G23" s="62">
        <f>(Expenses!$B$15/12)*1.03</f>
        <v>240.33333333333334</v>
      </c>
      <c r="H23" s="62">
        <f>(Expenses!$B$15/12)*1.03</f>
        <v>240.33333333333334</v>
      </c>
      <c r="I23" s="62">
        <f>(Expenses!$B$15/12)*1.03</f>
        <v>240.33333333333334</v>
      </c>
      <c r="J23" s="62">
        <f>(Expenses!$B$15/12)*1.03</f>
        <v>240.33333333333334</v>
      </c>
      <c r="K23" s="62">
        <f>(Expenses!$B$15/12)*1.03</f>
        <v>240.33333333333334</v>
      </c>
      <c r="L23" s="62">
        <f>(Expenses!$B$15/12)*1.03</f>
        <v>240.33333333333334</v>
      </c>
      <c r="M23" s="62">
        <f>(Expenses!$B$15/12)*1.03</f>
        <v>240.33333333333334</v>
      </c>
      <c r="N23" s="62">
        <f t="shared" si="3"/>
        <v>2884.0000000000005</v>
      </c>
    </row>
    <row r="24" spans="1:16" x14ac:dyDescent="0.25">
      <c r="A24" s="61" t="s">
        <v>48</v>
      </c>
      <c r="B24" s="62">
        <f>(Expenses!$B$16/12)*1.03</f>
        <v>21.63</v>
      </c>
      <c r="C24" s="62">
        <f>(Expenses!$B$16/12)*1.03</f>
        <v>21.63</v>
      </c>
      <c r="D24" s="62">
        <f>(Expenses!$B$16/12)*1.03</f>
        <v>21.63</v>
      </c>
      <c r="E24" s="62">
        <f>(Expenses!$B$16/12)*1.03</f>
        <v>21.63</v>
      </c>
      <c r="F24" s="62">
        <f>(Expenses!$B$16/12)*1.03</f>
        <v>21.63</v>
      </c>
      <c r="G24" s="62">
        <f>(Expenses!$B$16/12)*1.03</f>
        <v>21.63</v>
      </c>
      <c r="H24" s="62">
        <f>(Expenses!$B$16/12)*1.03</f>
        <v>21.63</v>
      </c>
      <c r="I24" s="62">
        <f>(Expenses!$B$16/12)*1.03</f>
        <v>21.63</v>
      </c>
      <c r="J24" s="62">
        <f>(Expenses!$B$16/12)*1.03</f>
        <v>21.63</v>
      </c>
      <c r="K24" s="62">
        <f>(Expenses!$B$16/12)*1.03</f>
        <v>21.63</v>
      </c>
      <c r="L24" s="62">
        <f>(Expenses!$B$16/12)*1.03</f>
        <v>21.63</v>
      </c>
      <c r="M24" s="62">
        <f>(Expenses!$B$16/12)*1.03</f>
        <v>21.63</v>
      </c>
      <c r="N24" s="62">
        <f t="shared" si="3"/>
        <v>259.56</v>
      </c>
    </row>
    <row r="25" spans="1:16" x14ac:dyDescent="0.25">
      <c r="A25" s="61" t="s">
        <v>49</v>
      </c>
      <c r="B25" s="62">
        <f>(Expenses!$B$17/12)*1.03</f>
        <v>42.916666666666664</v>
      </c>
      <c r="C25" s="62">
        <f>(Expenses!$B$17/12)*1.03</f>
        <v>42.916666666666664</v>
      </c>
      <c r="D25" s="62">
        <f>(Expenses!$B$17/12)*1.03</f>
        <v>42.916666666666664</v>
      </c>
      <c r="E25" s="62">
        <f>(Expenses!$B$17/12)*1.03</f>
        <v>42.916666666666664</v>
      </c>
      <c r="F25" s="62">
        <f>(Expenses!$B$17/12)*1.03</f>
        <v>42.916666666666664</v>
      </c>
      <c r="G25" s="62">
        <f>(Expenses!$B$17/12)*1.03</f>
        <v>42.916666666666664</v>
      </c>
      <c r="H25" s="62">
        <f>(Expenses!$B$17/12)*1.03</f>
        <v>42.916666666666664</v>
      </c>
      <c r="I25" s="62">
        <f>(Expenses!$B$17/12)*1.03</f>
        <v>42.916666666666664</v>
      </c>
      <c r="J25" s="62">
        <f>(Expenses!$B$17/12)*1.03</f>
        <v>42.916666666666664</v>
      </c>
      <c r="K25" s="62">
        <f>(Expenses!$B$17/12)*1.03</f>
        <v>42.916666666666664</v>
      </c>
      <c r="L25" s="62">
        <f>(Expenses!$B$17/12)*1.03</f>
        <v>42.916666666666664</v>
      </c>
      <c r="M25" s="62">
        <f>(Expenses!$B$17/12)*1.03</f>
        <v>42.916666666666664</v>
      </c>
      <c r="N25" s="62">
        <f t="shared" si="3"/>
        <v>515.00000000000011</v>
      </c>
    </row>
    <row r="26" spans="1:16" x14ac:dyDescent="0.25">
      <c r="A26" s="61" t="s">
        <v>50</v>
      </c>
      <c r="B26" s="62">
        <f>(Expenses!$B$18/12)*1.03</f>
        <v>0.4291666666666667</v>
      </c>
      <c r="C26" s="62">
        <f>(Expenses!$B$18/12)*1.03</f>
        <v>0.4291666666666667</v>
      </c>
      <c r="D26" s="62">
        <f>(Expenses!$B$18/12)*1.03</f>
        <v>0.4291666666666667</v>
      </c>
      <c r="E26" s="62">
        <f>(Expenses!$B$18/12)*1.03</f>
        <v>0.4291666666666667</v>
      </c>
      <c r="F26" s="62">
        <f>(Expenses!$B$18/12)*1.03</f>
        <v>0.4291666666666667</v>
      </c>
      <c r="G26" s="62">
        <f>(Expenses!$B$18/12)*1.03</f>
        <v>0.4291666666666667</v>
      </c>
      <c r="H26" s="62">
        <f>(Expenses!$B$18/12)*1.03</f>
        <v>0.4291666666666667</v>
      </c>
      <c r="I26" s="62">
        <f>(Expenses!$B$18/12)*1.03</f>
        <v>0.4291666666666667</v>
      </c>
      <c r="J26" s="62">
        <f>(Expenses!$B$18/12)*1.03</f>
        <v>0.4291666666666667</v>
      </c>
      <c r="K26" s="62">
        <f>(Expenses!$B$18/12)*1.03</f>
        <v>0.4291666666666667</v>
      </c>
      <c r="L26" s="62">
        <f>(Expenses!$B$18/12)*1.03</f>
        <v>0.4291666666666667</v>
      </c>
      <c r="M26" s="62">
        <f>(Expenses!$B$18/12)*1.03</f>
        <v>0.4291666666666667</v>
      </c>
      <c r="N26" s="62">
        <f t="shared" si="3"/>
        <v>5.15</v>
      </c>
    </row>
    <row r="27" spans="1:16" x14ac:dyDescent="0.25">
      <c r="A27" s="61" t="s">
        <v>51</v>
      </c>
      <c r="B27" s="62">
        <f>(Expenses!$B$19/12)*1.03</f>
        <v>34.608000000000004</v>
      </c>
      <c r="C27" s="62">
        <f>(Expenses!$B$19/12)*1.03</f>
        <v>34.608000000000004</v>
      </c>
      <c r="D27" s="62">
        <f>(Expenses!$B$19/12)*1.03</f>
        <v>34.608000000000004</v>
      </c>
      <c r="E27" s="62">
        <f>(Expenses!$B$19/12)*1.03</f>
        <v>34.608000000000004</v>
      </c>
      <c r="F27" s="62">
        <f>(Expenses!$B$19/12)*1.03</f>
        <v>34.608000000000004</v>
      </c>
      <c r="G27" s="62">
        <f>(Expenses!$B$19/12)*1.03</f>
        <v>34.608000000000004</v>
      </c>
      <c r="H27" s="62">
        <f>(Expenses!$B$19/12)*1.03</f>
        <v>34.608000000000004</v>
      </c>
      <c r="I27" s="62">
        <f>(Expenses!$B$19/12)*1.03</f>
        <v>34.608000000000004</v>
      </c>
      <c r="J27" s="62">
        <f>(Expenses!$B$19/12)*1.03</f>
        <v>34.608000000000004</v>
      </c>
      <c r="K27" s="62">
        <f>(Expenses!$B$19/12)*1.03</f>
        <v>34.608000000000004</v>
      </c>
      <c r="L27" s="62">
        <f>(Expenses!$B$19/12)*1.03</f>
        <v>34.608000000000004</v>
      </c>
      <c r="M27" s="62">
        <f>(Expenses!$B$19/12)*1.03</f>
        <v>34.608000000000004</v>
      </c>
      <c r="N27" s="62">
        <f t="shared" si="3"/>
        <v>415.29600000000005</v>
      </c>
    </row>
    <row r="28" spans="1:16" x14ac:dyDescent="0.25">
      <c r="A28" s="61" t="s">
        <v>52</v>
      </c>
      <c r="B28" s="62">
        <f>(Expenses!$B$20/12)*1.03</f>
        <v>20.6</v>
      </c>
      <c r="C28" s="62">
        <f>(Expenses!$B$20/12)*1.03</f>
        <v>20.6</v>
      </c>
      <c r="D28" s="62">
        <f>(Expenses!$B$20/12)*1.03</f>
        <v>20.6</v>
      </c>
      <c r="E28" s="62">
        <f>(Expenses!$B$20/12)*1.03</f>
        <v>20.6</v>
      </c>
      <c r="F28" s="62">
        <f>(Expenses!$B$20/12)*1.03</f>
        <v>20.6</v>
      </c>
      <c r="G28" s="62">
        <f>(Expenses!$B$20/12)*1.03</f>
        <v>20.6</v>
      </c>
      <c r="H28" s="62">
        <f>(Expenses!$B$20/12)*1.03</f>
        <v>20.6</v>
      </c>
      <c r="I28" s="62">
        <f>(Expenses!$B$20/12)*1.03</f>
        <v>20.6</v>
      </c>
      <c r="J28" s="62">
        <f>(Expenses!$B$20/12)*1.03</f>
        <v>20.6</v>
      </c>
      <c r="K28" s="62">
        <f>(Expenses!$B$20/12)*1.03</f>
        <v>20.6</v>
      </c>
      <c r="L28" s="62">
        <f>(Expenses!$B$20/12)*1.03</f>
        <v>20.6</v>
      </c>
      <c r="M28" s="62">
        <f>(Expenses!$B$20/12)*1.03</f>
        <v>20.6</v>
      </c>
      <c r="N28" s="62">
        <f t="shared" si="3"/>
        <v>247.19999999999996</v>
      </c>
    </row>
    <row r="29" spans="1:16" x14ac:dyDescent="0.25">
      <c r="A29" s="61" t="s">
        <v>53</v>
      </c>
      <c r="B29" s="62">
        <f>(Expenses!$B$21/12)*1.03</f>
        <v>8.5393437500000005</v>
      </c>
      <c r="C29" s="62">
        <f>(Expenses!$B$21/12)*1.03</f>
        <v>8.5393437500000005</v>
      </c>
      <c r="D29" s="62">
        <f>(Expenses!$B$21/12)*1.03</f>
        <v>8.5393437500000005</v>
      </c>
      <c r="E29" s="62">
        <f>(Expenses!$B$21/12)*1.03</f>
        <v>8.5393437500000005</v>
      </c>
      <c r="F29" s="62">
        <f>(Expenses!$B$21/12)*1.03</f>
        <v>8.5393437500000005</v>
      </c>
      <c r="G29" s="62">
        <f>(Expenses!$B$21/12)*1.03</f>
        <v>8.5393437500000005</v>
      </c>
      <c r="H29" s="62">
        <f>(Expenses!$B$21/12)*1.03</f>
        <v>8.5393437500000005</v>
      </c>
      <c r="I29" s="62">
        <f>(Expenses!$B$21/12)*1.03</f>
        <v>8.5393437500000005</v>
      </c>
      <c r="J29" s="62">
        <f>(Expenses!$B$21/12)*1.03</f>
        <v>8.5393437500000005</v>
      </c>
      <c r="K29" s="62">
        <f>(Expenses!$B$21/12)*1.03</f>
        <v>8.5393437500000005</v>
      </c>
      <c r="L29" s="62">
        <f>(Expenses!$B$21/12)*1.03</f>
        <v>8.5393437500000005</v>
      </c>
      <c r="M29" s="62">
        <f>(Expenses!$B$21/12)*1.03</f>
        <v>8.5393437500000005</v>
      </c>
      <c r="N29" s="62">
        <f t="shared" si="3"/>
        <v>102.47212500000001</v>
      </c>
    </row>
    <row r="30" spans="1:16" x14ac:dyDescent="0.25">
      <c r="A30" s="61" t="s">
        <v>54</v>
      </c>
      <c r="B30" s="62">
        <f>(Expenses!$B$22/12)*1.03</f>
        <v>8.1382875000000006</v>
      </c>
      <c r="C30" s="62">
        <f>(Expenses!$B$22/12)*1.03</f>
        <v>8.1382875000000006</v>
      </c>
      <c r="D30" s="62">
        <f>(Expenses!$B$22/12)*1.03</f>
        <v>8.1382875000000006</v>
      </c>
      <c r="E30" s="62">
        <f>(Expenses!$B$22/12)*1.03</f>
        <v>8.1382875000000006</v>
      </c>
      <c r="F30" s="62">
        <f>(Expenses!$B$22/12)*1.03</f>
        <v>8.1382875000000006</v>
      </c>
      <c r="G30" s="62">
        <f>(Expenses!$B$22/12)*1.03</f>
        <v>8.1382875000000006</v>
      </c>
      <c r="H30" s="62">
        <f>(Expenses!$B$22/12)*1.03</f>
        <v>8.1382875000000006</v>
      </c>
      <c r="I30" s="62">
        <f>(Expenses!$B$22/12)*1.03</f>
        <v>8.1382875000000006</v>
      </c>
      <c r="J30" s="62">
        <f>(Expenses!$B$22/12)*1.03</f>
        <v>8.1382875000000006</v>
      </c>
      <c r="K30" s="62">
        <f>(Expenses!$B$22/12)*1.03</f>
        <v>8.1382875000000006</v>
      </c>
      <c r="L30" s="62">
        <f>(Expenses!$B$22/12)*1.03</f>
        <v>8.1382875000000006</v>
      </c>
      <c r="M30" s="62">
        <f>(Expenses!$B$22/12)*1.03</f>
        <v>8.1382875000000006</v>
      </c>
      <c r="N30" s="62">
        <f t="shared" si="3"/>
        <v>97.659450000000035</v>
      </c>
    </row>
    <row r="31" spans="1:16" ht="1.5" customHeight="1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6" x14ac:dyDescent="0.25">
      <c r="A32" s="41" t="s">
        <v>59</v>
      </c>
      <c r="B32" s="15">
        <f t="shared" ref="B32:M32" si="4">SUM(B15:B30)</f>
        <v>4783.5683312833353</v>
      </c>
      <c r="C32" s="15">
        <f t="shared" si="4"/>
        <v>4783.5006325333343</v>
      </c>
      <c r="D32" s="15">
        <f t="shared" si="4"/>
        <v>4783.5006325333343</v>
      </c>
      <c r="E32" s="15">
        <f t="shared" si="4"/>
        <v>4783.5006325333343</v>
      </c>
      <c r="F32" s="15">
        <f t="shared" si="4"/>
        <v>4783.5006325333343</v>
      </c>
      <c r="G32" s="15">
        <f t="shared" si="4"/>
        <v>4783.5006325333343</v>
      </c>
      <c r="H32" s="15">
        <f t="shared" si="4"/>
        <v>4783.5006325333343</v>
      </c>
      <c r="I32" s="15">
        <f t="shared" si="4"/>
        <v>4783.5006325333343</v>
      </c>
      <c r="J32" s="15">
        <f t="shared" si="4"/>
        <v>4783.5006325333343</v>
      </c>
      <c r="K32" s="15">
        <f t="shared" si="4"/>
        <v>4783.5006325333343</v>
      </c>
      <c r="L32" s="15">
        <f t="shared" si="4"/>
        <v>4783.5006325333343</v>
      </c>
      <c r="M32" s="15">
        <f t="shared" si="4"/>
        <v>4783.5006325333343</v>
      </c>
      <c r="N32" s="15">
        <f>SUM(B32:M32)</f>
        <v>57402.075289150031</v>
      </c>
      <c r="O32" s="61" t="s">
        <v>165</v>
      </c>
      <c r="P32" s="62"/>
    </row>
    <row r="34" spans="1:15" x14ac:dyDescent="0.25">
      <c r="A34" s="61" t="s">
        <v>65</v>
      </c>
      <c r="B34" s="62">
        <f t="shared" ref="B34:M34" si="5">SUM(B11-B32)</f>
        <v>245.74606871666492</v>
      </c>
      <c r="C34" s="62">
        <f t="shared" si="5"/>
        <v>245.81376746666592</v>
      </c>
      <c r="D34" s="62">
        <f t="shared" si="5"/>
        <v>245.81376746666592</v>
      </c>
      <c r="E34" s="62">
        <f t="shared" si="5"/>
        <v>245.81376746666592</v>
      </c>
      <c r="F34" s="62">
        <f t="shared" si="5"/>
        <v>1359.3923674666657</v>
      </c>
      <c r="G34" s="62">
        <f t="shared" si="5"/>
        <v>445.81376746666592</v>
      </c>
      <c r="H34" s="62">
        <f t="shared" si="5"/>
        <v>-1753.8576325333343</v>
      </c>
      <c r="I34" s="62">
        <f t="shared" si="5"/>
        <v>-2044.7862325333344</v>
      </c>
      <c r="J34" s="62">
        <f t="shared" si="5"/>
        <v>1359.3923674666657</v>
      </c>
      <c r="K34" s="62">
        <f t="shared" si="5"/>
        <v>245.81376746666592</v>
      </c>
      <c r="L34" s="62">
        <f t="shared" si="5"/>
        <v>245.81376746666592</v>
      </c>
      <c r="M34" s="62">
        <f t="shared" si="5"/>
        <v>1359.3923674666657</v>
      </c>
      <c r="N34" s="62">
        <f>SUM(B34:M34)</f>
        <v>2200.161910849989</v>
      </c>
    </row>
    <row r="37" spans="1:15" x14ac:dyDescent="0.25">
      <c r="N37" s="62">
        <f>N5+N6+N7</f>
        <v>43102.237199999996</v>
      </c>
      <c r="O37" s="61" t="s">
        <v>166</v>
      </c>
    </row>
    <row r="38" spans="1:15" x14ac:dyDescent="0.25">
      <c r="N38" s="23">
        <f>N37/N11</f>
        <v>0.72316475395658464</v>
      </c>
      <c r="O38" s="61" t="s">
        <v>167</v>
      </c>
    </row>
    <row r="39" spans="1:15" x14ac:dyDescent="0.25">
      <c r="N39" s="62">
        <f>N37-N32</f>
        <v>-14299.838089150035</v>
      </c>
      <c r="O39" s="61" t="s">
        <v>168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Sample schedule</vt:lpstr>
      <vt:lpstr>Other income</vt:lpstr>
      <vt:lpstr>Staffing</vt:lpstr>
      <vt:lpstr>Grants</vt:lpstr>
      <vt:lpstr>Equipment costs</vt:lpstr>
      <vt:lpstr>Expenses</vt:lpstr>
      <vt:lpstr>Cash flow Y1</vt:lpstr>
      <vt:lpstr>Cash flow Y2</vt:lpstr>
      <vt:lpstr>Cash flow Y3</vt:lpstr>
      <vt:lpstr>Cash flow Y4</vt:lpstr>
      <vt:lpstr>Cash flow Y5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Eele</dc:creator>
  <cp:lastModifiedBy>Paul Renwick</cp:lastModifiedBy>
  <cp:lastPrinted>2019-09-27T09:01:21Z</cp:lastPrinted>
  <dcterms:created xsi:type="dcterms:W3CDTF">2019-09-25T12:49:57Z</dcterms:created>
  <dcterms:modified xsi:type="dcterms:W3CDTF">2020-02-28T20:44:39Z</dcterms:modified>
</cp:coreProperties>
</file>